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9"/>
  <workbookPr defaultThemeVersion="166925"/>
  <mc:AlternateContent xmlns:mc="http://schemas.openxmlformats.org/markup-compatibility/2006">
    <mc:Choice Requires="x15">
      <x15ac:absPath xmlns:x15ac="http://schemas.microsoft.com/office/spreadsheetml/2010/11/ac" url="J:\WP07 integrated modelling\STEM_Coupling\STEM_LCA\Exchanges Sep - Nov 2024\"/>
    </mc:Choice>
  </mc:AlternateContent>
  <xr:revisionPtr revIDLastSave="0" documentId="13_ncr:1_{3AC21C9C-597C-4E2F-B11D-1ED7C2C81DBE}" xr6:coauthVersionLast="47" xr6:coauthVersionMax="47" xr10:uidLastSave="{00000000-0000-0000-0000-000000000000}"/>
  <bookViews>
    <workbookView xWindow="-108" yWindow="-108" windowWidth="23256" windowHeight="13896" activeTab="1" xr2:uid="{FF64AF30-3015-1142-92FA-2A2ED079457A}"/>
  </bookViews>
  <sheets>
    <sheet name="Variable_List" sheetId="2" r:id="rId1"/>
    <sheet name="SPS3" sheetId="1" r:id="rId2"/>
    <sheet name="check" sheetId="4" r:id="rId3"/>
  </sheets>
  <externalReferences>
    <externalReference r:id="rId4"/>
  </externalReferences>
  <definedNames>
    <definedName name="_xlnm._FilterDatabase" localSheetId="1" hidden="1">'SPS3'!$A$1:$K$1753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" l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K1817" i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F1688" i="1" a="1"/>
  <c r="F1688" i="1" s="1"/>
  <c r="I1688" i="1" a="1"/>
  <c r="I1688" i="1" s="1"/>
  <c r="K1688" i="1" a="1"/>
  <c r="K1688" i="1" s="1"/>
  <c r="J1688" i="1" a="1"/>
  <c r="J1688" i="1" s="1"/>
  <c r="G1688" i="1" a="1"/>
  <c r="G1688" i="1" s="1"/>
  <c r="H1688" i="1" a="1"/>
  <c r="H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G2011" i="1" a="1"/>
  <c r="G2011" i="1" s="1"/>
  <c r="G2012" i="1" s="1" a="1"/>
  <c r="G2012" i="1" s="1"/>
  <c r="K2010" i="1" a="1"/>
  <c r="K2010" i="1" s="1"/>
  <c r="I2015" i="1" a="1"/>
  <c r="I2015" i="1" s="1"/>
  <c r="H2016" i="1" a="1"/>
  <c r="H2016" i="1" s="1"/>
  <c r="K2016" i="1" a="1"/>
  <c r="K2016" i="1" s="1"/>
  <c r="G2013" i="1" a="1"/>
  <c r="G2013" i="1" s="1"/>
  <c r="K2011" i="1" a="1"/>
  <c r="K2011" i="1" s="1"/>
  <c r="K2012" i="1" s="1" a="1"/>
  <c r="K2012" i="1" s="1"/>
  <c r="F2010" i="1" a="1"/>
  <c r="F2010" i="1" s="1"/>
  <c r="F2013" i="1" a="1"/>
  <c r="F2013" i="1" s="1"/>
  <c r="F2014" i="1" s="1" a="1"/>
  <c r="F2014" i="1" s="1"/>
  <c r="J2016" i="1" a="1"/>
  <c r="J2016" i="1" s="1"/>
  <c r="H2011" i="1" a="1"/>
  <c r="H2011" i="1" s="1"/>
  <c r="I2010" i="1" a="1"/>
  <c r="I2010" i="1" s="1"/>
  <c r="J2013" i="1" a="1"/>
  <c r="J2013" i="1" s="1"/>
  <c r="H2013" i="1" a="1"/>
  <c r="H2013" i="1" s="1"/>
  <c r="H2014" i="1" s="1" a="1"/>
  <c r="H2014" i="1" s="1"/>
  <c r="I2016" i="1" a="1"/>
  <c r="I2016" i="1" s="1"/>
  <c r="F2016" i="1" a="1"/>
  <c r="F2016" i="1" s="1"/>
  <c r="F2015" i="1" a="1"/>
  <c r="F2015" i="1" s="1"/>
  <c r="J2010" i="1" a="1"/>
  <c r="J2010" i="1" s="1"/>
  <c r="J2011" i="1" a="1"/>
  <c r="J2011" i="1" s="1"/>
  <c r="J2012" i="1" s="1" a="1"/>
  <c r="J2012" i="1" s="1"/>
  <c r="J2015" i="1" a="1"/>
  <c r="J2015" i="1" s="1"/>
  <c r="G2014" i="1" a="1"/>
  <c r="G2014" i="1" s="1"/>
  <c r="I2013" i="1" a="1"/>
  <c r="I2013" i="1" s="1"/>
  <c r="I2014" i="1" s="1" a="1"/>
  <c r="I2014" i="1" s="1"/>
  <c r="K2015" i="1" a="1"/>
  <c r="K2015" i="1" s="1"/>
  <c r="G2015" i="1" a="1"/>
  <c r="G2015" i="1" s="1"/>
  <c r="K2013" i="1" a="1"/>
  <c r="K2013" i="1" s="1"/>
  <c r="K2014" i="1" s="1" a="1"/>
  <c r="K2014" i="1" s="1"/>
  <c r="H2010" i="1" a="1"/>
  <c r="H2010" i="1" s="1"/>
  <c r="I2011" i="1" a="1"/>
  <c r="I2011" i="1" s="1"/>
  <c r="I2012" i="1" s="1" a="1"/>
  <c r="I2012" i="1" s="1"/>
  <c r="G2016" i="1" a="1"/>
  <c r="G2016" i="1" s="1"/>
  <c r="J2014" i="1" a="1"/>
  <c r="J2014" i="1" s="1"/>
  <c r="H2015" i="1" a="1"/>
  <c r="H2015" i="1" s="1"/>
  <c r="H2012" i="1" a="1"/>
  <c r="H2012" i="1" s="1"/>
  <c r="F2011" i="1" a="1"/>
  <c r="F2011" i="1" s="1"/>
  <c r="F2012" i="1" s="1" a="1"/>
  <c r="F2012" i="1" s="1"/>
  <c r="G2010" i="1" a="1"/>
  <c r="G2010" i="1" s="1"/>
  <c r="G2008" i="1" a="1"/>
  <c r="G2008" i="1" s="1"/>
  <c r="G2009" i="1" s="1" a="1"/>
  <c r="G2009" i="1" s="1"/>
  <c r="F2000" i="1" a="1"/>
  <c r="F2000" i="1" s="1"/>
  <c r="J2006" i="1" a="1"/>
  <c r="J2006" i="1" s="1"/>
  <c r="J2003" i="1" a="1"/>
  <c r="J2003" i="1" s="1"/>
  <c r="J2004" i="1" s="1" a="1"/>
  <c r="J2004" i="1" s="1"/>
  <c r="G2001" i="1" a="1"/>
  <c r="G2001" i="1" s="1"/>
  <c r="G2002" i="1" s="1" a="1"/>
  <c r="G2002" i="1" s="1"/>
  <c r="G2003" i="1" a="1"/>
  <c r="G2003" i="1" s="1"/>
  <c r="G2004" i="1" s="1" a="1"/>
  <c r="G2004" i="1" s="1"/>
  <c r="J2001" i="1" a="1"/>
  <c r="J2001" i="1" s="1"/>
  <c r="H2000" i="1" a="1"/>
  <c r="H2000" i="1" s="1"/>
  <c r="I2005" i="1" a="1"/>
  <c r="I2005" i="1" s="1"/>
  <c r="I2000" i="1" a="1"/>
  <c r="I2000" i="1" s="1"/>
  <c r="K2008" i="1" a="1"/>
  <c r="K2008" i="1" s="1"/>
  <c r="K2009" i="1" s="1" a="1"/>
  <c r="K2009" i="1" s="1"/>
  <c r="H2006" i="1" a="1"/>
  <c r="H2006" i="1" s="1"/>
  <c r="H2005" i="1" a="1"/>
  <c r="H2005" i="1" s="1"/>
  <c r="G2000" i="1" a="1"/>
  <c r="G2000" i="1" s="1"/>
  <c r="G2005" i="1" a="1"/>
  <c r="G2005" i="1" s="1"/>
  <c r="F2001" i="1" a="1"/>
  <c r="F2001" i="1" s="1"/>
  <c r="J2002" i="1" a="1"/>
  <c r="J2002" i="1" s="1"/>
  <c r="J2008" i="1" a="1"/>
  <c r="J2008" i="1" s="1"/>
  <c r="J2009" i="1" s="1" a="1"/>
  <c r="J2009" i="1" s="1"/>
  <c r="K2006" i="1" a="1"/>
  <c r="K2006" i="1" s="1"/>
  <c r="K2003" i="1" a="1"/>
  <c r="K2003" i="1" s="1"/>
  <c r="K2001" i="1" a="1"/>
  <c r="K2001" i="1" s="1"/>
  <c r="F2008" i="1" a="1"/>
  <c r="F2008" i="1" s="1"/>
  <c r="F2009" i="1" s="1" a="1"/>
  <c r="F2009" i="1" s="1"/>
  <c r="K2000" i="1" a="1"/>
  <c r="K2000" i="1" s="1"/>
  <c r="F2005" i="1" a="1"/>
  <c r="F2005" i="1" s="1"/>
  <c r="J2005" i="1" a="1"/>
  <c r="J2005" i="1" s="1"/>
  <c r="I2008" i="1" a="1"/>
  <c r="I2008" i="1" s="1"/>
  <c r="I2009" i="1" s="1" a="1"/>
  <c r="I2009" i="1" s="1"/>
  <c r="H2008" i="1" a="1"/>
  <c r="H2008" i="1" s="1"/>
  <c r="H2009" i="1" s="1" a="1"/>
  <c r="H2009" i="1" s="1"/>
  <c r="G2006" i="1" a="1"/>
  <c r="G2006" i="1" s="1"/>
  <c r="F2002" i="1" a="1"/>
  <c r="F2002" i="1" s="1"/>
  <c r="K2005" i="1" a="1"/>
  <c r="K2005" i="1" s="1"/>
  <c r="I2006" i="1" a="1"/>
  <c r="I2006" i="1" s="1"/>
  <c r="F2006" i="1" a="1"/>
  <c r="F2006" i="1" s="1"/>
  <c r="K2004" i="1" a="1"/>
  <c r="K2004" i="1" s="1"/>
  <c r="I2003" i="1" a="1"/>
  <c r="I2003" i="1" s="1"/>
  <c r="I2004" i="1" s="1" a="1"/>
  <c r="I2004" i="1" s="1"/>
  <c r="H2003" i="1" a="1"/>
  <c r="H2003" i="1" s="1"/>
  <c r="H2004" i="1" s="1" a="1"/>
  <c r="H2004" i="1" s="1"/>
  <c r="F2003" i="1" a="1"/>
  <c r="F2003" i="1" s="1"/>
  <c r="F2004" i="1" s="1" a="1"/>
  <c r="F2004" i="1" s="1"/>
  <c r="J2000" i="1" a="1"/>
  <c r="J2000" i="1" s="1"/>
  <c r="K2002" i="1" a="1"/>
  <c r="K2002" i="1" s="1"/>
  <c r="I2001" i="1" a="1"/>
  <c r="I2001" i="1" s="1"/>
  <c r="I2002" i="1" s="1" a="1"/>
  <c r="I2002" i="1" s="1"/>
  <c r="K1998" i="1" a="1"/>
  <c r="K1998" i="1" s="1"/>
  <c r="K1999" i="1" s="1" a="1"/>
  <c r="K1999" i="1" s="1"/>
  <c r="H2001" i="1" a="1"/>
  <c r="H2001" i="1" s="1"/>
  <c r="H2002" i="1" s="1" a="1"/>
  <c r="H2002" i="1" s="1"/>
  <c r="H1996" i="1" a="1"/>
  <c r="H1996" i="1" s="1"/>
  <c r="H1993" i="1" a="1"/>
  <c r="H1993" i="1" s="1"/>
  <c r="K1987" i="1" a="1"/>
  <c r="K1987" i="1" s="1"/>
  <c r="H1989" i="1" a="1"/>
  <c r="H1989" i="1" s="1"/>
  <c r="H1995" i="1" a="1"/>
  <c r="H1995" i="1" s="1"/>
  <c r="I1993" i="1" a="1"/>
  <c r="I1993" i="1" s="1"/>
  <c r="J1989" i="1" a="1"/>
  <c r="J1989" i="1" s="1"/>
  <c r="G1995" i="1" a="1"/>
  <c r="G1995" i="1" s="1"/>
  <c r="K1988" i="1" a="1"/>
  <c r="K1988" i="1" s="1"/>
  <c r="H1992" i="1" a="1"/>
  <c r="H1992" i="1" s="1"/>
  <c r="F1993" i="1" a="1"/>
  <c r="F1993" i="1" s="1"/>
  <c r="K1994" i="1" a="1"/>
  <c r="K1994" i="1" s="1"/>
  <c r="J1994" i="1" a="1"/>
  <c r="J1994" i="1" s="1"/>
  <c r="I1994" i="1" a="1"/>
  <c r="I1994" i="1" s="1"/>
  <c r="J1993" i="1" a="1"/>
  <c r="J1993" i="1" s="1"/>
  <c r="G1994" i="1" a="1"/>
  <c r="G1994" i="1" s="1"/>
  <c r="F1994" i="1" a="1"/>
  <c r="F1994" i="1" s="1"/>
  <c r="K1991" i="1" a="1"/>
  <c r="K1991" i="1" s="1"/>
  <c r="K1993" i="1" a="1"/>
  <c r="K1993" i="1" s="1"/>
  <c r="F1992" i="1" a="1"/>
  <c r="F1992" i="1" s="1"/>
  <c r="I1991" i="1" a="1"/>
  <c r="I1991" i="1" s="1"/>
  <c r="F1991" i="1" a="1"/>
  <c r="F1991" i="1" s="1"/>
  <c r="H1990" i="1" a="1"/>
  <c r="H1990" i="1" s="1"/>
  <c r="J1987" i="1" a="1"/>
  <c r="J1987" i="1" s="1"/>
  <c r="G1988" i="1" a="1"/>
  <c r="G1988" i="1" s="1"/>
  <c r="F1988" i="1" a="1"/>
  <c r="F1988" i="1" s="1"/>
  <c r="K1989" i="1" a="1"/>
  <c r="K1989" i="1" s="1"/>
  <c r="F1990" i="1" a="1"/>
  <c r="F1990" i="1" s="1"/>
  <c r="J1988" i="1" a="1"/>
  <c r="J1988" i="1" s="1"/>
  <c r="K1990" i="1" a="1"/>
  <c r="K1990" i="1" s="1"/>
  <c r="I1989" i="1" a="1"/>
  <c r="I1989" i="1" s="1"/>
  <c r="I1995" i="1" a="1"/>
  <c r="I1995" i="1" s="1"/>
  <c r="G1990" i="1" a="1"/>
  <c r="G1990" i="1" s="1"/>
  <c r="I1988" i="1" a="1"/>
  <c r="I1988" i="1" s="1"/>
  <c r="I1998" i="1" a="1"/>
  <c r="I1998" i="1" s="1"/>
  <c r="I1999" i="1" s="1" a="1"/>
  <c r="I1999" i="1" s="1"/>
  <c r="H1998" i="1" a="1"/>
  <c r="H1998" i="1" s="1"/>
  <c r="H1999" i="1" s="1" a="1"/>
  <c r="H1999" i="1" s="1"/>
  <c r="G1998" i="1" a="1"/>
  <c r="G1998" i="1" s="1"/>
  <c r="G1999" i="1" s="1" a="1"/>
  <c r="G1999" i="1" s="1"/>
  <c r="G1996" i="1" a="1"/>
  <c r="G1996" i="1" s="1"/>
  <c r="G1992" i="1" a="1"/>
  <c r="G1992" i="1" s="1"/>
  <c r="G1993" i="1" a="1"/>
  <c r="G1993" i="1" s="1"/>
  <c r="J1990" i="1" a="1"/>
  <c r="J1990" i="1" s="1"/>
  <c r="G1991" i="1" a="1"/>
  <c r="G1991" i="1" s="1"/>
  <c r="K1996" i="1" a="1"/>
  <c r="K1996" i="1" s="1"/>
  <c r="I1990" i="1" a="1"/>
  <c r="I1990" i="1" s="1"/>
  <c r="F1996" i="1" a="1"/>
  <c r="F1996" i="1" s="1"/>
  <c r="H1988" i="1" a="1"/>
  <c r="H1988" i="1" s="1"/>
  <c r="K1992" i="1" a="1"/>
  <c r="K1992" i="1" s="1"/>
  <c r="J1995" i="1" a="1"/>
  <c r="J1995" i="1" s="1"/>
  <c r="J1992" i="1" a="1"/>
  <c r="J1992" i="1" s="1"/>
  <c r="J1991" i="1" a="1"/>
  <c r="J1991" i="1" s="1"/>
  <c r="F1995" i="1" a="1"/>
  <c r="F1995" i="1" s="1"/>
  <c r="F1989" i="1" a="1"/>
  <c r="F1989" i="1" s="1"/>
  <c r="J1998" i="1" a="1"/>
  <c r="J1998" i="1" s="1"/>
  <c r="J1999" i="1" s="1" a="1"/>
  <c r="J1999" i="1" s="1"/>
  <c r="H1991" i="1" a="1"/>
  <c r="H1991" i="1" s="1"/>
  <c r="F1998" i="1" a="1"/>
  <c r="F1998" i="1" s="1"/>
  <c r="F1999" i="1" s="1" a="1"/>
  <c r="F1999" i="1" s="1"/>
  <c r="J1996" i="1" a="1"/>
  <c r="J1996" i="1" s="1"/>
  <c r="K1995" i="1" a="1"/>
  <c r="K1995" i="1" s="1"/>
  <c r="I1992" i="1" a="1"/>
  <c r="I1992" i="1" s="1"/>
  <c r="G1989" i="1" a="1"/>
  <c r="G1989" i="1" s="1"/>
  <c r="I1996" i="1" a="1"/>
  <c r="I1996" i="1" s="1"/>
  <c r="H1994" i="1" a="1"/>
  <c r="H1994" i="1" s="1"/>
  <c r="I1984" i="1" a="1"/>
  <c r="I1984" i="1" s="1"/>
  <c r="J1982" i="1" a="1"/>
  <c r="J1982" i="1" s="1"/>
  <c r="K1980" i="1" a="1"/>
  <c r="K1980" i="1" s="1"/>
  <c r="I1978" i="1" a="1"/>
  <c r="I1978" i="1" s="1"/>
  <c r="G1984" i="1" a="1"/>
  <c r="G1984" i="1" s="1"/>
  <c r="I1985" i="1" a="1"/>
  <c r="I1985" i="1" s="1"/>
  <c r="K1978" i="1" a="1"/>
  <c r="K1978" i="1" s="1"/>
  <c r="F1987" i="1" a="1"/>
  <c r="F1987" i="1" s="1"/>
  <c r="J1986" i="1" a="1"/>
  <c r="J1986" i="1" s="1"/>
  <c r="J1985" i="1" a="1"/>
  <c r="J1985" i="1" s="1"/>
  <c r="I1982" i="1" a="1"/>
  <c r="I1982" i="1" s="1"/>
  <c r="I1986" i="1" a="1"/>
  <c r="I1986" i="1" s="1"/>
  <c r="G1982" i="1" a="1"/>
  <c r="G1982" i="1" s="1"/>
  <c r="I1979" i="1" a="1"/>
  <c r="I1979" i="1" s="1"/>
  <c r="K1977" i="1" a="1"/>
  <c r="K1977" i="1" s="1"/>
  <c r="I1977" i="1" a="1"/>
  <c r="I1977" i="1" s="1"/>
  <c r="H1986" i="1" a="1"/>
  <c r="H1986" i="1" s="1"/>
  <c r="H1984" i="1" a="1"/>
  <c r="H1984" i="1" s="1"/>
  <c r="K1982" i="1" a="1"/>
  <c r="K1982" i="1" s="1"/>
  <c r="F1982" i="1" a="1"/>
  <c r="F1982" i="1" s="1"/>
  <c r="H1979" i="1" a="1"/>
  <c r="H1979" i="1" s="1"/>
  <c r="H1982" i="1" a="1"/>
  <c r="H1982" i="1" s="1"/>
  <c r="G1980" i="1" a="1"/>
  <c r="G1980" i="1" s="1"/>
  <c r="J1977" i="1" a="1"/>
  <c r="J1977" i="1" s="1"/>
  <c r="G1979" i="1" a="1"/>
  <c r="G1979" i="1" s="1"/>
  <c r="J1979" i="1" a="1"/>
  <c r="J1979" i="1" s="1"/>
  <c r="G1986" i="1" a="1"/>
  <c r="G1986" i="1" s="1"/>
  <c r="F1984" i="1" a="1"/>
  <c r="F1984" i="1" s="1"/>
  <c r="I1980" i="1" a="1"/>
  <c r="I1980" i="1" s="1"/>
  <c r="J1978" i="1" a="1"/>
  <c r="J1978" i="1" s="1"/>
  <c r="F1978" i="1" a="1"/>
  <c r="F1978" i="1" s="1"/>
  <c r="G1977" i="1" a="1"/>
  <c r="G1977" i="1" s="1"/>
  <c r="K1985" i="1" a="1"/>
  <c r="K1985" i="1" s="1"/>
  <c r="H1985" i="1" a="1"/>
  <c r="H1985" i="1" s="1"/>
  <c r="I1981" i="1" a="1"/>
  <c r="I1981" i="1" s="1"/>
  <c r="G1981" i="1" a="1"/>
  <c r="G1981" i="1" s="1"/>
  <c r="G1985" i="1" a="1"/>
  <c r="G1985" i="1" s="1"/>
  <c r="G1983" i="1" a="1"/>
  <c r="G1983" i="1" s="1"/>
  <c r="K1983" i="1" a="1"/>
  <c r="K1983" i="1" s="1"/>
  <c r="J1984" i="1" a="1"/>
  <c r="J1984" i="1" s="1"/>
  <c r="I1983" i="1" a="1"/>
  <c r="I1983" i="1" s="1"/>
  <c r="J1983" i="1" a="1"/>
  <c r="J1983" i="1" s="1"/>
  <c r="J1981" i="1" a="1"/>
  <c r="J1981" i="1" s="1"/>
  <c r="J1980" i="1" a="1"/>
  <c r="J1980" i="1" s="1"/>
  <c r="F1980" i="1" a="1"/>
  <c r="F1980" i="1" s="1"/>
  <c r="K1981" i="1" a="1"/>
  <c r="K1981" i="1" s="1"/>
  <c r="H1977" i="1" a="1"/>
  <c r="H1977" i="1" s="1"/>
  <c r="H1983" i="1" a="1"/>
  <c r="H1983" i="1" s="1"/>
  <c r="F1981" i="1" a="1"/>
  <c r="F1981" i="1" s="1"/>
  <c r="I1987" i="1" a="1"/>
  <c r="I1987" i="1" s="1"/>
  <c r="K1986" i="1" a="1"/>
  <c r="K1986" i="1" s="1"/>
  <c r="F1983" i="1" a="1"/>
  <c r="F1983" i="1" s="1"/>
  <c r="H1980" i="1" a="1"/>
  <c r="H1980" i="1" s="1"/>
  <c r="G1978" i="1" a="1"/>
  <c r="G1978" i="1" s="1"/>
  <c r="F1986" i="1" a="1"/>
  <c r="F1986" i="1" s="1"/>
  <c r="F1985" i="1" a="1"/>
  <c r="F1985" i="1" s="1"/>
  <c r="G1987" i="1" a="1"/>
  <c r="G1987" i="1" s="1"/>
  <c r="K1979" i="1" a="1"/>
  <c r="K1979" i="1" s="1"/>
  <c r="K1984" i="1" a="1"/>
  <c r="K1984" i="1" s="1"/>
  <c r="F1977" i="1" a="1"/>
  <c r="F1977" i="1" s="1"/>
  <c r="F1979" i="1" a="1"/>
  <c r="F1979" i="1" s="1"/>
  <c r="H1978" i="1" a="1"/>
  <c r="H1978" i="1" s="1"/>
  <c r="H1981" i="1" a="1"/>
  <c r="H1981" i="1" s="1"/>
  <c r="H1987" i="1" a="1"/>
  <c r="H1987" i="1" s="1"/>
  <c r="I1969" i="1" a="1"/>
  <c r="I1969" i="1" s="1"/>
  <c r="H1967" i="1" a="1"/>
  <c r="H1967" i="1" s="1"/>
  <c r="G1968" i="1" a="1"/>
  <c r="G1968" i="1" s="1"/>
  <c r="J1974" i="1" a="1"/>
  <c r="J1974" i="1" s="1"/>
  <c r="K1972" i="1" a="1"/>
  <c r="K1972" i="1" s="1"/>
  <c r="G1972" i="1" a="1"/>
  <c r="G1972" i="1" s="1"/>
  <c r="H1971" i="1" a="1"/>
  <c r="H1971" i="1" s="1"/>
  <c r="H1970" i="1" a="1"/>
  <c r="H1970" i="1" s="1"/>
  <c r="G1969" i="1" a="1"/>
  <c r="G1969" i="1" s="1"/>
  <c r="G1967" i="1" a="1"/>
  <c r="G1967" i="1" s="1"/>
  <c r="J1967" i="1" a="1"/>
  <c r="J1967" i="1" s="1"/>
  <c r="I1968" i="1" a="1"/>
  <c r="I1968" i="1" s="1"/>
  <c r="K1967" i="1" a="1"/>
  <c r="K1967" i="1" s="1"/>
  <c r="H1972" i="1" a="1"/>
  <c r="H1972" i="1" s="1"/>
  <c r="K1969" i="1" a="1"/>
  <c r="K1969" i="1" s="1"/>
  <c r="I1972" i="1" a="1"/>
  <c r="I1972" i="1" s="1"/>
  <c r="I1966" i="1" a="1"/>
  <c r="I1966" i="1" s="1"/>
  <c r="I1967" i="1" a="1"/>
  <c r="I1967" i="1" s="1"/>
  <c r="K1968" i="1" a="1"/>
  <c r="K1968" i="1" s="1"/>
  <c r="F1967" i="1" a="1"/>
  <c r="F1967" i="1" s="1"/>
  <c r="H1969" i="1" a="1"/>
  <c r="H1969" i="1" s="1"/>
  <c r="F1975" i="1" a="1"/>
  <c r="F1975" i="1" s="1"/>
  <c r="J1966" i="1" a="1"/>
  <c r="J1966" i="1" s="1"/>
  <c r="K1966" i="1" a="1"/>
  <c r="K1966" i="1" s="1"/>
  <c r="F1972" i="1" a="1"/>
  <c r="F1972" i="1" s="1"/>
  <c r="I1971" i="1" a="1"/>
  <c r="I1971" i="1" s="1"/>
  <c r="H1968" i="1" a="1"/>
  <c r="H1968" i="1" s="1"/>
  <c r="F1970" i="1" a="1"/>
  <c r="F1970" i="1" s="1"/>
  <c r="J1969" i="1" a="1"/>
  <c r="J1969" i="1" s="1"/>
  <c r="F1969" i="1" a="1"/>
  <c r="F1969" i="1" s="1"/>
  <c r="J1968" i="1" a="1"/>
  <c r="J1968" i="1" s="1"/>
  <c r="J1972" i="1" a="1"/>
  <c r="J1972" i="1" s="1"/>
  <c r="I1970" i="1" a="1"/>
  <c r="I1970" i="1" s="1"/>
  <c r="G1971" i="1" a="1"/>
  <c r="G1971" i="1" s="1"/>
  <c r="J1971" i="1" a="1"/>
  <c r="J1971" i="1" s="1"/>
  <c r="J1970" i="1" a="1"/>
  <c r="J1970" i="1" s="1"/>
  <c r="G1970" i="1" a="1"/>
  <c r="G1970" i="1" s="1"/>
  <c r="F1968" i="1" a="1"/>
  <c r="F1968" i="1" s="1"/>
  <c r="H1974" i="1" a="1"/>
  <c r="H1974" i="1" s="1"/>
  <c r="I1974" i="1" a="1"/>
  <c r="I1974" i="1" s="1"/>
  <c r="K1976" i="1" a="1"/>
  <c r="K1976" i="1" s="1"/>
  <c r="J1976" i="1" a="1"/>
  <c r="J1976" i="1" s="1"/>
  <c r="F1971" i="1" a="1"/>
  <c r="F1971" i="1" s="1"/>
  <c r="I1976" i="1" a="1"/>
  <c r="I1976" i="1" s="1"/>
  <c r="H1976" i="1" a="1"/>
  <c r="H1976" i="1" s="1"/>
  <c r="G1976" i="1" a="1"/>
  <c r="G1976" i="1" s="1"/>
  <c r="I1975" i="1" a="1"/>
  <c r="I1975" i="1" s="1"/>
  <c r="G1974" i="1" a="1"/>
  <c r="G1974" i="1" s="1"/>
  <c r="K1971" i="1" a="1"/>
  <c r="K1971" i="1" s="1"/>
  <c r="K1974" i="1" a="1"/>
  <c r="K1974" i="1" s="1"/>
  <c r="F1974" i="1" a="1"/>
  <c r="F1974" i="1" s="1"/>
  <c r="G1975" i="1" a="1"/>
  <c r="G1975" i="1" s="1"/>
  <c r="F1976" i="1" a="1"/>
  <c r="F1976" i="1" s="1"/>
  <c r="K1975" i="1" a="1"/>
  <c r="K1975" i="1" s="1"/>
  <c r="J1975" i="1" a="1"/>
  <c r="J1975" i="1" s="1"/>
  <c r="H1975" i="1" a="1"/>
  <c r="H1975" i="1" s="1"/>
  <c r="K1970" i="1" a="1"/>
  <c r="K1970" i="1" s="1"/>
  <c r="G1965" i="1" a="1"/>
  <c r="G1965" i="1" s="1"/>
  <c r="K1964" i="1" a="1"/>
  <c r="K1964" i="1" s="1"/>
  <c r="I1964" i="1" a="1"/>
  <c r="I1964" i="1" s="1"/>
  <c r="G1964" i="1" a="1"/>
  <c r="G1964" i="1" s="1"/>
  <c r="J1960" i="1" a="1"/>
  <c r="J1960" i="1" s="1"/>
  <c r="G1959" i="1" a="1"/>
  <c r="G1959" i="1" s="1"/>
  <c r="F1958" i="1" a="1"/>
  <c r="F1958" i="1" s="1"/>
  <c r="F1965" i="1" a="1"/>
  <c r="F1965" i="1" s="1"/>
  <c r="J1963" i="1" a="1"/>
  <c r="J1963" i="1" s="1"/>
  <c r="J1964" i="1" a="1"/>
  <c r="J1964" i="1" s="1"/>
  <c r="H1964" i="1" a="1"/>
  <c r="H1964" i="1" s="1"/>
  <c r="F1960" i="1" a="1"/>
  <c r="F1960" i="1" s="1"/>
  <c r="I1958" i="1" a="1"/>
  <c r="I1958" i="1" s="1"/>
  <c r="K1955" i="1" a="1"/>
  <c r="K1955" i="1" s="1"/>
  <c r="H1959" i="1" a="1"/>
  <c r="H1959" i="1" s="1"/>
  <c r="K1956" i="1" a="1"/>
  <c r="K1956" i="1" s="1"/>
  <c r="H1962" i="1" a="1"/>
  <c r="H1962" i="1" s="1"/>
  <c r="I1959" i="1" a="1"/>
  <c r="I1959" i="1" s="1"/>
  <c r="F1956" i="1" a="1"/>
  <c r="F1956" i="1" s="1"/>
  <c r="F1963" i="1" a="1"/>
  <c r="F1963" i="1" s="1"/>
  <c r="H1958" i="1" a="1"/>
  <c r="H1958" i="1" s="1"/>
  <c r="F1962" i="1" a="1"/>
  <c r="F1962" i="1" s="1"/>
  <c r="K1957" i="1" a="1"/>
  <c r="K1957" i="1" s="1"/>
  <c r="J1961" i="1" a="1"/>
  <c r="J1961" i="1" s="1"/>
  <c r="I1961" i="1" a="1"/>
  <c r="I1961" i="1" s="1"/>
  <c r="I1957" i="1" a="1"/>
  <c r="I1957" i="1" s="1"/>
  <c r="G1958" i="1" a="1"/>
  <c r="G1958" i="1" s="1"/>
  <c r="I1962" i="1" a="1"/>
  <c r="I1962" i="1" s="1"/>
  <c r="I1960" i="1" a="1"/>
  <c r="I1960" i="1" s="1"/>
  <c r="F1959" i="1" a="1"/>
  <c r="F1959" i="1" s="1"/>
  <c r="J1957" i="1" a="1"/>
  <c r="J1957" i="1" s="1"/>
  <c r="I1965" i="1" a="1"/>
  <c r="I1965" i="1" s="1"/>
  <c r="F1961" i="1" a="1"/>
  <c r="F1961" i="1" s="1"/>
  <c r="H1960" i="1" a="1"/>
  <c r="H1960" i="1" s="1"/>
  <c r="I1963" i="1" a="1"/>
  <c r="I1963" i="1" s="1"/>
  <c r="G1963" i="1" a="1"/>
  <c r="G1963" i="1" s="1"/>
  <c r="G1961" i="1" a="1"/>
  <c r="G1961" i="1" s="1"/>
  <c r="F1957" i="1" a="1"/>
  <c r="F1957" i="1" s="1"/>
  <c r="I1956" i="1" a="1"/>
  <c r="I1956" i="1" s="1"/>
  <c r="H1963" i="1" a="1"/>
  <c r="H1963" i="1" s="1"/>
  <c r="G1957" i="1" a="1"/>
  <c r="G1957" i="1" s="1"/>
  <c r="H1966" i="1" a="1"/>
  <c r="H1966" i="1" s="1"/>
  <c r="J1958" i="1" a="1"/>
  <c r="J1958" i="1" s="1"/>
  <c r="G1966" i="1" a="1"/>
  <c r="G1966" i="1" s="1"/>
  <c r="F1966" i="1" a="1"/>
  <c r="F1966" i="1" s="1"/>
  <c r="H1965" i="1" a="1"/>
  <c r="H1965" i="1" s="1"/>
  <c r="K1961" i="1" a="1"/>
  <c r="K1961" i="1" s="1"/>
  <c r="G1960" i="1" a="1"/>
  <c r="G1960" i="1" s="1"/>
  <c r="K1965" i="1" a="1"/>
  <c r="K1965" i="1" s="1"/>
  <c r="J1965" i="1" a="1"/>
  <c r="J1965" i="1" s="1"/>
  <c r="F1964" i="1" a="1"/>
  <c r="F1964" i="1" s="1"/>
  <c r="G1962" i="1" a="1"/>
  <c r="G1962" i="1" s="1"/>
  <c r="J1962" i="1" a="1"/>
  <c r="J1962" i="1" s="1"/>
  <c r="K1962" i="1" a="1"/>
  <c r="K1962" i="1" s="1"/>
  <c r="H1961" i="1" a="1"/>
  <c r="H1961" i="1" s="1"/>
  <c r="K1958" i="1" a="1"/>
  <c r="K1958" i="1" s="1"/>
  <c r="K1960" i="1" a="1"/>
  <c r="K1960" i="1" s="1"/>
  <c r="K1959" i="1" a="1"/>
  <c r="K1959" i="1" s="1"/>
  <c r="J1956" i="1" a="1"/>
  <c r="J1956" i="1" s="1"/>
  <c r="H1956" i="1" a="1"/>
  <c r="H1956" i="1" s="1"/>
  <c r="K1963" i="1" a="1"/>
  <c r="K1963" i="1" s="1"/>
  <c r="J1959" i="1" a="1"/>
  <c r="J1959" i="1" s="1"/>
  <c r="H1957" i="1" a="1"/>
  <c r="H1957" i="1" s="1"/>
  <c r="G1956" i="1" a="1"/>
  <c r="G1956" i="1" s="1"/>
  <c r="H1953" i="1" a="1"/>
  <c r="H1953" i="1" s="1"/>
  <c r="J1952" i="1" a="1"/>
  <c r="J1952" i="1" s="1"/>
  <c r="G1945" i="1" a="1"/>
  <c r="G1945" i="1" s="1"/>
  <c r="F1945" i="1" a="1"/>
  <c r="F1945" i="1" s="1"/>
  <c r="F1953" i="1" a="1"/>
  <c r="F1953" i="1" s="1"/>
  <c r="I1952" i="1" a="1"/>
  <c r="I1952" i="1" s="1"/>
  <c r="F1946" i="1" a="1"/>
  <c r="F1946" i="1" s="1"/>
  <c r="H1952" i="1" a="1"/>
  <c r="H1952" i="1" s="1"/>
  <c r="G1952" i="1" a="1"/>
  <c r="G1952" i="1" s="1"/>
  <c r="G1951" i="1" a="1"/>
  <c r="G1951" i="1" s="1"/>
  <c r="K1951" i="1" a="1"/>
  <c r="K1951" i="1" s="1"/>
  <c r="I1948" i="1" a="1"/>
  <c r="I1948" i="1" s="1"/>
  <c r="I1950" i="1" a="1"/>
  <c r="I1950" i="1" s="1"/>
  <c r="I1947" i="1" a="1"/>
  <c r="I1947" i="1" s="1"/>
  <c r="I1946" i="1" a="1"/>
  <c r="I1946" i="1" s="1"/>
  <c r="K1945" i="1" a="1"/>
  <c r="K1945" i="1" s="1"/>
  <c r="H1951" i="1" a="1"/>
  <c r="H1951" i="1" s="1"/>
  <c r="K1950" i="1" a="1"/>
  <c r="K1950" i="1" s="1"/>
  <c r="J1950" i="1" a="1"/>
  <c r="J1950" i="1" s="1"/>
  <c r="J1944" i="1" a="1"/>
  <c r="J1944" i="1" s="1"/>
  <c r="G1950" i="1" a="1"/>
  <c r="G1950" i="1" s="1"/>
  <c r="G1947" i="1" a="1"/>
  <c r="G1947" i="1" s="1"/>
  <c r="G1946" i="1" a="1"/>
  <c r="G1946" i="1" s="1"/>
  <c r="K1947" i="1" a="1"/>
  <c r="K1947" i="1" s="1"/>
  <c r="H1947" i="1" a="1"/>
  <c r="H1947" i="1" s="1"/>
  <c r="K1946" i="1" a="1"/>
  <c r="K1946" i="1" s="1"/>
  <c r="H1946" i="1" a="1"/>
  <c r="H1946" i="1" s="1"/>
  <c r="F1950" i="1" a="1"/>
  <c r="F1950" i="1" s="1"/>
  <c r="I1945" i="1" a="1"/>
  <c r="I1945" i="1" s="1"/>
  <c r="I1951" i="1" a="1"/>
  <c r="I1951" i="1" s="1"/>
  <c r="J1955" i="1" a="1"/>
  <c r="J1955" i="1" s="1"/>
  <c r="I1955" i="1" a="1"/>
  <c r="I1955" i="1" s="1"/>
  <c r="F1955" i="1" a="1"/>
  <c r="F1955" i="1" s="1"/>
  <c r="J1954" i="1" a="1"/>
  <c r="J1954" i="1" s="1"/>
  <c r="G1948" i="1" a="1"/>
  <c r="G1948" i="1" s="1"/>
  <c r="J1945" i="1" a="1"/>
  <c r="J1945" i="1" s="1"/>
  <c r="K1944" i="1" a="1"/>
  <c r="K1944" i="1" s="1"/>
  <c r="G1953" i="1" a="1"/>
  <c r="G1953" i="1" s="1"/>
  <c r="K1954" i="1" a="1"/>
  <c r="K1954" i="1" s="1"/>
  <c r="J1953" i="1" a="1"/>
  <c r="J1953" i="1" s="1"/>
  <c r="H1945" i="1" a="1"/>
  <c r="H1945" i="1" s="1"/>
  <c r="K1952" i="1" a="1"/>
  <c r="K1952" i="1" s="1"/>
  <c r="K1948" i="1" a="1"/>
  <c r="K1948" i="1" s="1"/>
  <c r="H1955" i="1" a="1"/>
  <c r="H1955" i="1" s="1"/>
  <c r="G1955" i="1" a="1"/>
  <c r="G1955" i="1" s="1"/>
  <c r="I1954" i="1" a="1"/>
  <c r="I1954" i="1" s="1"/>
  <c r="H1954" i="1" a="1"/>
  <c r="H1954" i="1" s="1"/>
  <c r="J1947" i="1" a="1"/>
  <c r="J1947" i="1" s="1"/>
  <c r="J1946" i="1" a="1"/>
  <c r="J1946" i="1" s="1"/>
  <c r="F1951" i="1" a="1"/>
  <c r="F1951" i="1" s="1"/>
  <c r="J1951" i="1" a="1"/>
  <c r="J1951" i="1" s="1"/>
  <c r="G1954" i="1" a="1"/>
  <c r="G1954" i="1" s="1"/>
  <c r="K1953" i="1" a="1"/>
  <c r="K1953" i="1" s="1"/>
  <c r="J1948" i="1" a="1"/>
  <c r="J1948" i="1" s="1"/>
  <c r="F1954" i="1" a="1"/>
  <c r="F1954" i="1" s="1"/>
  <c r="I1953" i="1" a="1"/>
  <c r="I1953" i="1" s="1"/>
  <c r="F1952" i="1" a="1"/>
  <c r="F1952" i="1" s="1"/>
  <c r="F1948" i="1" a="1"/>
  <c r="F1948" i="1" s="1"/>
  <c r="F1947" i="1" a="1"/>
  <c r="F1947" i="1" s="1"/>
  <c r="H1948" i="1" a="1"/>
  <c r="H1948" i="1" s="1"/>
  <c r="H1950" i="1" a="1"/>
  <c r="H1950" i="1" s="1"/>
  <c r="J1939" i="1" a="1"/>
  <c r="J1939" i="1" s="1"/>
  <c r="G1939" i="1" a="1"/>
  <c r="G1939" i="1" s="1"/>
  <c r="H1935" i="1" a="1"/>
  <c r="H1935" i="1" s="1"/>
  <c r="G1935" i="1" a="1"/>
  <c r="G1935" i="1" s="1"/>
  <c r="H1937" i="1" a="1"/>
  <c r="H1937" i="1" s="1"/>
  <c r="J1937" i="1" a="1"/>
  <c r="J1937" i="1" s="1"/>
  <c r="F1935" i="1" a="1"/>
  <c r="F1935" i="1" s="1"/>
  <c r="I1939" i="1" a="1"/>
  <c r="I1939" i="1" s="1"/>
  <c r="H1934" i="1" a="1"/>
  <c r="H1934" i="1" s="1"/>
  <c r="J1940" i="1" a="1"/>
  <c r="J1940" i="1" s="1"/>
  <c r="I1937" i="1" a="1"/>
  <c r="I1937" i="1" s="1"/>
  <c r="K1939" i="1" a="1"/>
  <c r="K1939" i="1" s="1"/>
  <c r="H1939" i="1" a="1"/>
  <c r="H1939" i="1" s="1"/>
  <c r="K1937" i="1" a="1"/>
  <c r="K1937" i="1" s="1"/>
  <c r="I1944" i="1" a="1"/>
  <c r="I1944" i="1" s="1"/>
  <c r="H1944" i="1" a="1"/>
  <c r="H1944" i="1" s="1"/>
  <c r="K1943" i="1" a="1"/>
  <c r="K1943" i="1" s="1"/>
  <c r="G1944" i="1" a="1"/>
  <c r="G1944" i="1" s="1"/>
  <c r="I1940" i="1" a="1"/>
  <c r="I1940" i="1" s="1"/>
  <c r="K1942" i="1" a="1"/>
  <c r="K1942" i="1" s="1"/>
  <c r="I1934" i="1" a="1"/>
  <c r="I1934" i="1" s="1"/>
  <c r="J1942" i="1" a="1"/>
  <c r="J1942" i="1" s="1"/>
  <c r="I1942" i="1" a="1"/>
  <c r="I1942" i="1" s="1"/>
  <c r="H1942" i="1" a="1"/>
  <c r="H1942" i="1" s="1"/>
  <c r="G1942" i="1" a="1"/>
  <c r="G1942" i="1" s="1"/>
  <c r="K1936" i="1" a="1"/>
  <c r="K1936" i="1" s="1"/>
  <c r="K1941" i="1" a="1"/>
  <c r="K1941" i="1" s="1"/>
  <c r="I1935" i="1" a="1"/>
  <c r="I1935" i="1" s="1"/>
  <c r="J1938" i="1" a="1"/>
  <c r="J1938" i="1" s="1"/>
  <c r="H1936" i="1" a="1"/>
  <c r="H1936" i="1" s="1"/>
  <c r="I1936" i="1" a="1"/>
  <c r="I1936" i="1" s="1"/>
  <c r="F1937" i="1" a="1"/>
  <c r="F1937" i="1" s="1"/>
  <c r="F1938" i="1" a="1"/>
  <c r="F1938" i="1" s="1"/>
  <c r="G1940" i="1" a="1"/>
  <c r="G1940" i="1" s="1"/>
  <c r="F1941" i="1" a="1"/>
  <c r="F1941" i="1" s="1"/>
  <c r="F1939" i="1" a="1"/>
  <c r="F1939" i="1" s="1"/>
  <c r="H1943" i="1" a="1"/>
  <c r="H1943" i="1" s="1"/>
  <c r="F1943" i="1" a="1"/>
  <c r="F1943" i="1" s="1"/>
  <c r="K1938" i="1" a="1"/>
  <c r="K1938" i="1" s="1"/>
  <c r="F1944" i="1" a="1"/>
  <c r="F1944" i="1" s="1"/>
  <c r="J1943" i="1" a="1"/>
  <c r="J1943" i="1" s="1"/>
  <c r="I1943" i="1" a="1"/>
  <c r="I1943" i="1" s="1"/>
  <c r="H1938" i="1" a="1"/>
  <c r="H1938" i="1" s="1"/>
  <c r="I1938" i="1" a="1"/>
  <c r="I1938" i="1" s="1"/>
  <c r="G1943" i="1" a="1"/>
  <c r="G1943" i="1" s="1"/>
  <c r="G1937" i="1" a="1"/>
  <c r="G1937" i="1" s="1"/>
  <c r="F1934" i="1" a="1"/>
  <c r="F1934" i="1" s="1"/>
  <c r="G1936" i="1" a="1"/>
  <c r="G1936" i="1" s="1"/>
  <c r="F1942" i="1" a="1"/>
  <c r="F1942" i="1" s="1"/>
  <c r="H1940" i="1" a="1"/>
  <c r="H1940" i="1" s="1"/>
  <c r="G1938" i="1" a="1"/>
  <c r="G1938" i="1" s="1"/>
  <c r="J1936" i="1" a="1"/>
  <c r="J1936" i="1" s="1"/>
  <c r="J1941" i="1" a="1"/>
  <c r="J1941" i="1" s="1"/>
  <c r="I1941" i="1" a="1"/>
  <c r="I1941" i="1" s="1"/>
  <c r="H1941" i="1" a="1"/>
  <c r="H1941" i="1" s="1"/>
  <c r="G1941" i="1" a="1"/>
  <c r="G1941" i="1" s="1"/>
  <c r="K1940" i="1" a="1"/>
  <c r="K1940" i="1" s="1"/>
  <c r="F1936" i="1" a="1"/>
  <c r="F1936" i="1" s="1"/>
  <c r="J1935" i="1" a="1"/>
  <c r="J1935" i="1" s="1"/>
  <c r="K1935" i="1" a="1"/>
  <c r="K1935" i="1" s="1"/>
  <c r="G1934" i="1" a="1"/>
  <c r="G1934" i="1" s="1"/>
  <c r="K1934" i="1" a="1"/>
  <c r="K1934" i="1" s="1"/>
  <c r="J1934" i="1" a="1"/>
  <c r="J1934" i="1" s="1"/>
  <c r="F1940" i="1" a="1"/>
  <c r="F1940" i="1" s="1"/>
  <c r="H1931" i="1" a="1"/>
  <c r="H1931" i="1" s="1"/>
  <c r="I1931" i="1" a="1"/>
  <c r="I1931" i="1" s="1"/>
  <c r="H1930" i="1" a="1"/>
  <c r="H1930" i="1" s="1"/>
  <c r="G1929" i="1" a="1"/>
  <c r="G1929" i="1" s="1"/>
  <c r="K1932" i="1" a="1"/>
  <c r="K1932" i="1" s="1"/>
  <c r="H1928" i="1" a="1"/>
  <c r="H1928" i="1" s="1"/>
  <c r="G1932" i="1" a="1"/>
  <c r="G1932" i="1" s="1"/>
  <c r="J1925" i="1" a="1"/>
  <c r="J1925" i="1" s="1"/>
  <c r="G1931" i="1" a="1"/>
  <c r="G1931" i="1" s="1"/>
  <c r="I1932" i="1" a="1"/>
  <c r="I1932" i="1" s="1"/>
  <c r="H1932" i="1" a="1"/>
  <c r="H1932" i="1" s="1"/>
  <c r="K1931" i="1" a="1"/>
  <c r="K1931" i="1" s="1"/>
  <c r="I1923" i="1" a="1"/>
  <c r="I1923" i="1" s="1"/>
  <c r="J1931" i="1" a="1"/>
  <c r="J1931" i="1" s="1"/>
  <c r="F1931" i="1" a="1"/>
  <c r="F1931" i="1" s="1"/>
  <c r="H1925" i="1" a="1"/>
  <c r="H1925" i="1" s="1"/>
  <c r="K1926" i="1" a="1"/>
  <c r="K1926" i="1" s="1"/>
  <c r="K1930" i="1" a="1"/>
  <c r="K1930" i="1"/>
  <c r="J1930" i="1" a="1"/>
  <c r="J1930" i="1" s="1"/>
  <c r="K1929" i="1" a="1"/>
  <c r="K1929" i="1" s="1"/>
  <c r="I1924" i="1" a="1"/>
  <c r="I1924" i="1" s="1"/>
  <c r="H1926" i="1" a="1"/>
  <c r="H1926" i="1" s="1"/>
  <c r="G1928" i="1" a="1"/>
  <c r="G1928" i="1" s="1"/>
  <c r="G1930" i="1" a="1"/>
  <c r="G1930" i="1" s="1"/>
  <c r="I1929" i="1" a="1"/>
  <c r="I1929" i="1" s="1"/>
  <c r="J1926" i="1" a="1"/>
  <c r="J1926" i="1" s="1"/>
  <c r="G1924" i="1" a="1"/>
  <c r="G1924" i="1" s="1"/>
  <c r="J1929" i="1" a="1"/>
  <c r="J1929" i="1" s="1"/>
  <c r="H1924" i="1" a="1"/>
  <c r="H1924" i="1" s="1"/>
  <c r="H1927" i="1" a="1"/>
  <c r="H1927" i="1" s="1"/>
  <c r="F1925" i="1" a="1"/>
  <c r="F1925" i="1" s="1"/>
  <c r="F1930" i="1" a="1"/>
  <c r="F1930" i="1" s="1"/>
  <c r="I1930" i="1" a="1"/>
  <c r="I1930" i="1" s="1"/>
  <c r="K1925" i="1" a="1"/>
  <c r="K1925" i="1" s="1"/>
  <c r="H1929" i="1" a="1"/>
  <c r="H1929" i="1" s="1"/>
  <c r="J1927" i="1" a="1"/>
  <c r="J1927" i="1" s="1"/>
  <c r="I1925" i="1" a="1"/>
  <c r="I1925" i="1" s="1"/>
  <c r="J1928" i="1" a="1"/>
  <c r="J1928" i="1" s="1"/>
  <c r="G1925" i="1" a="1"/>
  <c r="G1925" i="1" s="1"/>
  <c r="F1929" i="1" a="1"/>
  <c r="F1929" i="1" s="1"/>
  <c r="F1926" i="1" a="1"/>
  <c r="F1926" i="1" s="1"/>
  <c r="K1928" i="1" a="1"/>
  <c r="K1928" i="1" s="1"/>
  <c r="F1924" i="1" a="1"/>
  <c r="F1924" i="1" s="1"/>
  <c r="H1923" i="1" a="1"/>
  <c r="H1923" i="1" s="1"/>
  <c r="K1933" i="1" a="1"/>
  <c r="K1933" i="1" s="1"/>
  <c r="G1926" i="1" a="1"/>
  <c r="G1926" i="1" s="1"/>
  <c r="J1933" i="1" a="1"/>
  <c r="J1933" i="1" s="1"/>
  <c r="J1932" i="1" a="1"/>
  <c r="J1932" i="1" s="1"/>
  <c r="F1928" i="1" a="1"/>
  <c r="F1928" i="1" s="1"/>
  <c r="I1927" i="1" a="1"/>
  <c r="I1927" i="1" s="1"/>
  <c r="I1928" i="1" a="1"/>
  <c r="I1928" i="1" s="1"/>
  <c r="K1923" i="1" a="1"/>
  <c r="K1923" i="1" s="1"/>
  <c r="J1923" i="1" a="1"/>
  <c r="J1923" i="1" s="1"/>
  <c r="H1933" i="1" a="1"/>
  <c r="H1933" i="1" s="1"/>
  <c r="F1932" i="1" a="1"/>
  <c r="F1932" i="1" s="1"/>
  <c r="I1933" i="1" a="1"/>
  <c r="I1933" i="1" s="1"/>
  <c r="K1927" i="1" a="1"/>
  <c r="K1927" i="1" s="1"/>
  <c r="K1924" i="1" a="1"/>
  <c r="K1924" i="1" s="1"/>
  <c r="G1933" i="1" a="1"/>
  <c r="G1933" i="1" s="1"/>
  <c r="F1933" i="1" a="1"/>
  <c r="F1933" i="1" s="1"/>
  <c r="G1927" i="1" a="1"/>
  <c r="G1927" i="1" s="1"/>
  <c r="F1927" i="1" a="1"/>
  <c r="F1927" i="1" s="1"/>
  <c r="I1926" i="1" a="1"/>
  <c r="I1926" i="1" s="1"/>
  <c r="J1924" i="1" a="1"/>
  <c r="J1924" i="1" s="1"/>
  <c r="J1916" i="1" a="1"/>
  <c r="J1916" i="1" s="1"/>
  <c r="H1914" i="1" a="1"/>
  <c r="H1914" i="1" s="1"/>
  <c r="F1914" i="1" a="1"/>
  <c r="F1914" i="1" s="1"/>
  <c r="I1916" i="1" a="1"/>
  <c r="I1916" i="1" s="1"/>
  <c r="H1916" i="1" a="1"/>
  <c r="H1916" i="1" s="1"/>
  <c r="F1916" i="1" a="1"/>
  <c r="F1916" i="1" s="1"/>
  <c r="I1915" i="1" a="1"/>
  <c r="I1915" i="1" s="1"/>
  <c r="K1913" i="1" a="1"/>
  <c r="K1913" i="1" s="1"/>
  <c r="G1917" i="1" a="1"/>
  <c r="G1917" i="1" s="1"/>
  <c r="J1922" i="1" a="1"/>
  <c r="J1922" i="1" s="1"/>
  <c r="G1922" i="1" a="1"/>
  <c r="G1922" i="1" s="1"/>
  <c r="K1917" i="1" a="1"/>
  <c r="K1917" i="1" s="1"/>
  <c r="I1920" i="1" a="1"/>
  <c r="I1920" i="1" s="1"/>
  <c r="F1921" i="1" a="1"/>
  <c r="F1921" i="1" s="1"/>
  <c r="J1921" i="1" a="1"/>
  <c r="J1921" i="1" s="1"/>
  <c r="G1915" i="1" a="1"/>
  <c r="G1915" i="1" s="1"/>
  <c r="H1920" i="1" a="1"/>
  <c r="H1920" i="1" s="1"/>
  <c r="F1922" i="1" a="1"/>
  <c r="F1922" i="1" s="1"/>
  <c r="F1920" i="1" a="1"/>
  <c r="F1920" i="1" s="1"/>
  <c r="K1919" i="1" a="1"/>
  <c r="K1919" i="1" s="1"/>
  <c r="G1919" i="1" a="1"/>
  <c r="G1919" i="1" s="1"/>
  <c r="F1918" i="1" a="1"/>
  <c r="F1918" i="1" s="1"/>
  <c r="I1917" i="1" a="1"/>
  <c r="I1917" i="1" s="1"/>
  <c r="I1914" i="1" a="1"/>
  <c r="I1914" i="1" s="1"/>
  <c r="F1917" i="1" a="1"/>
  <c r="F1917" i="1" s="1"/>
  <c r="K1912" i="1" a="1"/>
  <c r="K1912" i="1" s="1"/>
  <c r="I1921" i="1" a="1"/>
  <c r="I1921" i="1" s="1"/>
  <c r="G1921" i="1" a="1"/>
  <c r="G1921" i="1" s="1"/>
  <c r="F1915" i="1" a="1"/>
  <c r="F1915" i="1" s="1"/>
  <c r="J1913" i="1" a="1"/>
  <c r="J1913" i="1" s="1"/>
  <c r="G1916" i="1" a="1"/>
  <c r="G1916" i="1" s="1"/>
  <c r="F1919" i="1" a="1"/>
  <c r="F1919" i="1" s="1"/>
  <c r="H1917" i="1" a="1"/>
  <c r="H1917" i="1" s="1"/>
  <c r="J1915" i="1" a="1"/>
  <c r="J1915" i="1" s="1"/>
  <c r="F1913" i="1" a="1"/>
  <c r="F1913" i="1" s="1"/>
  <c r="K1921" i="1" a="1"/>
  <c r="K1921" i="1" s="1"/>
  <c r="H1915" i="1" a="1"/>
  <c r="H1915" i="1" s="1"/>
  <c r="H1921" i="1" a="1"/>
  <c r="H1921" i="1" s="1"/>
  <c r="J1918" i="1" a="1"/>
  <c r="J1918" i="1" s="1"/>
  <c r="H1919" i="1" a="1"/>
  <c r="H1919" i="1" s="1"/>
  <c r="G1920" i="1" a="1"/>
  <c r="G1920" i="1" s="1"/>
  <c r="I1918" i="1" a="1"/>
  <c r="I1918" i="1" s="1"/>
  <c r="K1916" i="1" a="1"/>
  <c r="K1916" i="1" s="1"/>
  <c r="J1914" i="1" a="1"/>
  <c r="J1914" i="1" s="1"/>
  <c r="G1913" i="1" a="1"/>
  <c r="G1913" i="1" s="1"/>
  <c r="H1913" i="1" a="1"/>
  <c r="H1913" i="1" s="1"/>
  <c r="J1912" i="1" a="1"/>
  <c r="J1912" i="1" s="1"/>
  <c r="K1914" i="1" a="1"/>
  <c r="K1914" i="1" s="1"/>
  <c r="G1923" i="1" a="1"/>
  <c r="G1923" i="1" s="1"/>
  <c r="F1923" i="1" a="1"/>
  <c r="F1923" i="1" s="1"/>
  <c r="K1915" i="1" a="1"/>
  <c r="K1915" i="1" s="1"/>
  <c r="K1922" i="1" a="1"/>
  <c r="K1922" i="1" s="1"/>
  <c r="I1913" i="1" a="1"/>
  <c r="I1913" i="1" s="1"/>
  <c r="H1918" i="1" a="1"/>
  <c r="H1918" i="1" s="1"/>
  <c r="I1922" i="1" a="1"/>
  <c r="I1922" i="1" s="1"/>
  <c r="G1914" i="1" a="1"/>
  <c r="G1914" i="1" s="1"/>
  <c r="H1922" i="1" a="1"/>
  <c r="H1922" i="1" s="1"/>
  <c r="K1920" i="1" a="1"/>
  <c r="K1920" i="1" s="1"/>
  <c r="J1920" i="1" a="1"/>
  <c r="J1920" i="1" s="1"/>
  <c r="J1919" i="1" a="1"/>
  <c r="J1919" i="1" s="1"/>
  <c r="K1918" i="1" a="1"/>
  <c r="K1918" i="1" s="1"/>
  <c r="I1919" i="1" a="1"/>
  <c r="I1919" i="1" s="1"/>
  <c r="G1918" i="1" a="1"/>
  <c r="G1918" i="1" s="1"/>
  <c r="J1917" i="1" a="1"/>
  <c r="J1917" i="1" s="1"/>
  <c r="H1907" i="1" a="1"/>
  <c r="H1907" i="1" s="1"/>
  <c r="G1907" i="1" a="1"/>
  <c r="G1907" i="1" s="1"/>
  <c r="I1903" i="1" a="1"/>
  <c r="I1903" i="1" s="1"/>
  <c r="H1904" i="1" a="1"/>
  <c r="H1904" i="1" s="1"/>
  <c r="I1905" i="1" a="1"/>
  <c r="I1905" i="1" s="1"/>
  <c r="G1904" i="1" a="1"/>
  <c r="G1904" i="1" s="1"/>
  <c r="F1902" i="1" a="1"/>
  <c r="F1902" i="1" s="1"/>
  <c r="J1903" i="1" a="1"/>
  <c r="J1903" i="1" s="1"/>
  <c r="F1907" i="1" a="1"/>
  <c r="F1907" i="1" s="1"/>
  <c r="F1905" i="1" a="1"/>
  <c r="F1905" i="1" s="1"/>
  <c r="G1903" i="1" a="1"/>
  <c r="G1903" i="1" s="1"/>
  <c r="J1902" i="1" a="1"/>
  <c r="J1902" i="1" s="1"/>
  <c r="G1906" i="1" a="1"/>
  <c r="G1906" i="1" s="1"/>
  <c r="G1905" i="1" a="1"/>
  <c r="G1905" i="1" s="1"/>
  <c r="I1912" i="1" a="1"/>
  <c r="I1912" i="1" s="1"/>
  <c r="J1904" i="1" a="1"/>
  <c r="J1904" i="1" s="1"/>
  <c r="K1911" i="1" a="1"/>
  <c r="K1911" i="1" s="1"/>
  <c r="H1912" i="1" a="1"/>
  <c r="H1912" i="1" s="1"/>
  <c r="G1912" i="1" a="1"/>
  <c r="G1912" i="1" s="1"/>
  <c r="F1912" i="1" a="1"/>
  <c r="F1912" i="1" s="1"/>
  <c r="I1911" i="1" a="1"/>
  <c r="I1911" i="1" s="1"/>
  <c r="I1910" i="1" a="1"/>
  <c r="I1910" i="1" s="1"/>
  <c r="G1908" i="1" a="1"/>
  <c r="G1908" i="1" s="1"/>
  <c r="K1902" i="1" a="1"/>
  <c r="K1902" i="1" s="1"/>
  <c r="J1906" i="1" a="1"/>
  <c r="J1906" i="1" s="1"/>
  <c r="I1904" i="1" a="1"/>
  <c r="I1904" i="1" s="1"/>
  <c r="J1911" i="1" a="1"/>
  <c r="J1911" i="1" s="1"/>
  <c r="H1911" i="1" a="1"/>
  <c r="H1911" i="1" s="1"/>
  <c r="K1906" i="1" a="1"/>
  <c r="K1906" i="1" s="1"/>
  <c r="F1904" i="1" a="1"/>
  <c r="F1904" i="1" s="1"/>
  <c r="H1903" i="1" a="1"/>
  <c r="H1903" i="1" s="1"/>
  <c r="G1911" i="1" a="1"/>
  <c r="G1911" i="1" s="1"/>
  <c r="F1908" i="1" a="1"/>
  <c r="F1908" i="1" s="1"/>
  <c r="H1906" i="1" a="1"/>
  <c r="H1906" i="1" s="1"/>
  <c r="J1905" i="1" a="1"/>
  <c r="J1905" i="1" s="1"/>
  <c r="F1909" i="1" a="1"/>
  <c r="F1909" i="1" s="1"/>
  <c r="K1904" i="1" a="1"/>
  <c r="K1904" i="1" s="1"/>
  <c r="F1911" i="1" a="1"/>
  <c r="F1911" i="1" s="1"/>
  <c r="K1910" i="1" a="1"/>
  <c r="K1910" i="1" s="1"/>
  <c r="J1910" i="1" a="1"/>
  <c r="J1910" i="1" s="1"/>
  <c r="H1910" i="1" a="1"/>
  <c r="H1910" i="1" s="1"/>
  <c r="G1910" i="1" a="1"/>
  <c r="G1910" i="1" s="1"/>
  <c r="F1910" i="1" a="1"/>
  <c r="F1910" i="1" s="1"/>
  <c r="K1909" i="1" a="1"/>
  <c r="K1909" i="1" s="1"/>
  <c r="J1909" i="1" a="1"/>
  <c r="J1909" i="1" s="1"/>
  <c r="F1906" i="1" a="1"/>
  <c r="F1906" i="1" s="1"/>
  <c r="F1903" i="1" a="1"/>
  <c r="F1903" i="1" s="1"/>
  <c r="I1909" i="1" a="1"/>
  <c r="I1909" i="1" s="1"/>
  <c r="H1909" i="1" a="1"/>
  <c r="H1909" i="1" s="1"/>
  <c r="G1909" i="1" a="1"/>
  <c r="G1909" i="1" s="1"/>
  <c r="K1908" i="1" a="1"/>
  <c r="K1908" i="1" s="1"/>
  <c r="J1908" i="1" a="1"/>
  <c r="J1908" i="1" s="1"/>
  <c r="I1906" i="1" a="1"/>
  <c r="I1906" i="1" s="1"/>
  <c r="I1902" i="1" a="1"/>
  <c r="I1902" i="1" s="1"/>
  <c r="I1908" i="1" a="1"/>
  <c r="I1908" i="1" s="1"/>
  <c r="H1908" i="1" a="1"/>
  <c r="H1908" i="1" s="1"/>
  <c r="H1905" i="1" a="1"/>
  <c r="H1905" i="1" s="1"/>
  <c r="K1907" i="1" a="1"/>
  <c r="K1907" i="1" s="1"/>
  <c r="J1907" i="1" a="1"/>
  <c r="J1907" i="1" s="1"/>
  <c r="I1907" i="1" a="1"/>
  <c r="I1907" i="1" s="1"/>
  <c r="K1905" i="1" a="1"/>
  <c r="K1905" i="1" s="1"/>
  <c r="K1903" i="1" a="1"/>
  <c r="K1903" i="1" s="1"/>
  <c r="H1902" i="1" a="1"/>
  <c r="H1902" i="1" s="1"/>
  <c r="G1902" i="1" a="1"/>
  <c r="G1902" i="1" s="1"/>
  <c r="G1900" i="1" a="1"/>
  <c r="G1900" i="1" s="1"/>
  <c r="F1900" i="1" a="1"/>
  <c r="F1900" i="1" s="1"/>
  <c r="F1899" i="1" a="1"/>
  <c r="F1899" i="1" s="1"/>
  <c r="K1901" i="1" a="1"/>
  <c r="K1901" i="1" s="1"/>
  <c r="J1901" i="1" a="1"/>
  <c r="J1901" i="1" s="1"/>
  <c r="I1901" i="1" a="1"/>
  <c r="I1901" i="1" s="1"/>
  <c r="H1901" i="1" a="1"/>
  <c r="H1901" i="1" s="1"/>
  <c r="G1901" i="1" a="1"/>
  <c r="G1901" i="1" s="1"/>
  <c r="J1900" i="1" a="1"/>
  <c r="J1900" i="1" s="1"/>
  <c r="H1900" i="1" a="1"/>
  <c r="H1900" i="1" s="1"/>
  <c r="I1899" i="1" a="1"/>
  <c r="I1899" i="1" s="1"/>
  <c r="F1901" i="1" a="1"/>
  <c r="F1901" i="1" s="1"/>
  <c r="K1900" i="1" a="1"/>
  <c r="K1900" i="1" s="1"/>
  <c r="H1899" i="1" a="1"/>
  <c r="H1899" i="1" s="1"/>
  <c r="I1900" i="1" a="1"/>
  <c r="I1900" i="1" s="1"/>
  <c r="J1899" i="1" a="1"/>
  <c r="J1899" i="1" s="1"/>
  <c r="K1899" i="1" a="1"/>
  <c r="K1899" i="1" s="1"/>
  <c r="G1899" i="1" a="1"/>
  <c r="G1899" i="1" s="1"/>
  <c r="I1663" i="1" a="1"/>
  <c r="I1663" i="1" s="1"/>
  <c r="H1671" i="1" a="1"/>
  <c r="H1671" i="1" s="1"/>
  <c r="K1670" i="1" a="1"/>
  <c r="K1670" i="1" s="1"/>
  <c r="G1663" i="1" a="1"/>
  <c r="G1663" i="1" s="1"/>
  <c r="F1670" i="1" a="1"/>
  <c r="F1670" i="1" s="1"/>
  <c r="F1669" i="1" a="1"/>
  <c r="F1669" i="1" s="1"/>
  <c r="K1665" i="1" a="1"/>
  <c r="K1665" i="1" s="1"/>
  <c r="J1666" i="1" a="1"/>
  <c r="J1666" i="1" s="1"/>
  <c r="K1671" i="1" a="1"/>
  <c r="K1671" i="1" s="1"/>
  <c r="J1671" i="1" a="1"/>
  <c r="J1671" i="1" s="1"/>
  <c r="I1667" i="1" a="1"/>
  <c r="I1667" i="1" s="1"/>
  <c r="J1663" i="1" a="1"/>
  <c r="J1663" i="1" s="1"/>
  <c r="H1664" i="1" a="1"/>
  <c r="H1664" i="1" s="1"/>
  <c r="G1664" i="1" a="1"/>
  <c r="G1664" i="1" s="1"/>
  <c r="I1671" i="1" a="1"/>
  <c r="I1671" i="1" s="1"/>
  <c r="J1670" i="1" a="1"/>
  <c r="J1670" i="1" s="1"/>
  <c r="J1669" i="1" a="1"/>
  <c r="J1669" i="1" s="1"/>
  <c r="K1666" i="1" a="1"/>
  <c r="K1666" i="1" s="1"/>
  <c r="H1668" i="1" a="1"/>
  <c r="H1668" i="1" s="1"/>
  <c r="I1668" i="1" a="1"/>
  <c r="I1668" i="1" s="1"/>
  <c r="H1667" i="1" a="1"/>
  <c r="H1667" i="1" s="1"/>
  <c r="K1662" i="1" a="1"/>
  <c r="K1662" i="1" s="1"/>
  <c r="G1671" i="1" a="1"/>
  <c r="G1671" i="1" s="1"/>
  <c r="F1671" i="1" a="1"/>
  <c r="F1671" i="1" s="1"/>
  <c r="F1664" i="1" a="1"/>
  <c r="F1664" i="1" s="1"/>
  <c r="I1670" i="1" a="1"/>
  <c r="I1670" i="1" s="1"/>
  <c r="J1665" i="1" a="1"/>
  <c r="J1665" i="1" s="1"/>
  <c r="H1670" i="1" a="1"/>
  <c r="H1670" i="1" s="1"/>
  <c r="F1665" i="1" a="1"/>
  <c r="F1665" i="1" s="1"/>
  <c r="K1669" i="1" a="1"/>
  <c r="K1669" i="1" s="1"/>
  <c r="G1662" i="1" a="1"/>
  <c r="G1662" i="1" s="1"/>
  <c r="G1669" i="1" a="1"/>
  <c r="G1669" i="1" s="1"/>
  <c r="G1666" i="1" a="1"/>
  <c r="G1666" i="1" s="1"/>
  <c r="I1669" i="1" a="1"/>
  <c r="I1669" i="1" s="1"/>
  <c r="J1667" i="1" a="1"/>
  <c r="J1667" i="1" s="1"/>
  <c r="K1668" i="1" a="1"/>
  <c r="K1668" i="1" s="1"/>
  <c r="J1668" i="1" a="1"/>
  <c r="J1668" i="1" s="1"/>
  <c r="F1663" i="1" a="1"/>
  <c r="F1663" i="1" s="1"/>
  <c r="G1668" i="1" a="1"/>
  <c r="G1668" i="1" s="1"/>
  <c r="K1664" i="1" a="1"/>
  <c r="K1664" i="1" s="1"/>
  <c r="H1662" i="1" a="1"/>
  <c r="H1662" i="1" s="1"/>
  <c r="F1667" i="1" a="1"/>
  <c r="F1667" i="1" s="1"/>
  <c r="F1666" i="1" a="1"/>
  <c r="F1666" i="1" s="1"/>
  <c r="H1665" i="1" a="1"/>
  <c r="H1665" i="1" s="1"/>
  <c r="K1667" i="1" a="1"/>
  <c r="K1667" i="1" s="1"/>
  <c r="G1670" i="1" a="1"/>
  <c r="G1670" i="1" s="1"/>
  <c r="H1669" i="1" a="1"/>
  <c r="H1669" i="1" s="1"/>
  <c r="G1667" i="1" a="1"/>
  <c r="G1667" i="1" s="1"/>
  <c r="I1666" i="1" a="1"/>
  <c r="I1666" i="1" s="1"/>
  <c r="I1665" i="1" a="1"/>
  <c r="I1665" i="1" s="1"/>
  <c r="I1664" i="1" a="1"/>
  <c r="I1664" i="1" s="1"/>
  <c r="H1666" i="1" a="1"/>
  <c r="H1666" i="1" s="1"/>
  <c r="J1662" i="1" a="1"/>
  <c r="J1662" i="1" s="1"/>
  <c r="K1663" i="1" a="1"/>
  <c r="K1663" i="1" s="1"/>
  <c r="G1665" i="1" a="1"/>
  <c r="G1665" i="1" s="1"/>
  <c r="H1663" i="1" a="1"/>
  <c r="H1663" i="1" s="1"/>
  <c r="F1662" i="1" a="1"/>
  <c r="F1662" i="1" s="1"/>
  <c r="F1668" i="1" a="1"/>
  <c r="F1668" i="1" s="1"/>
  <c r="I1662" i="1" a="1"/>
  <c r="I1662" i="1" s="1"/>
  <c r="J1664" i="1" a="1"/>
  <c r="J1664" i="1" s="1"/>
  <c r="F1660" i="1" a="1"/>
  <c r="F1660" i="1" s="1"/>
  <c r="I1659" i="1" a="1"/>
  <c r="I1659" i="1" s="1"/>
  <c r="F1659" i="1" a="1"/>
  <c r="F1659" i="1" s="1"/>
  <c r="J1658" i="1" a="1"/>
  <c r="J1658" i="1" s="1"/>
  <c r="H1658" i="1" a="1"/>
  <c r="H1658" i="1" s="1"/>
  <c r="G1658" i="1" a="1"/>
  <c r="G1658" i="1" s="1"/>
  <c r="I1646" i="1" a="1"/>
  <c r="I1646" i="1" s="1"/>
  <c r="G1645" i="1" a="1"/>
  <c r="G1645" i="1" s="1"/>
  <c r="J1652" i="1" a="1"/>
  <c r="J1652" i="1" s="1"/>
  <c r="K1646" i="1" a="1"/>
  <c r="K1646" i="1" s="1"/>
  <c r="G1646" i="1" a="1"/>
  <c r="G1646" i="1" s="1"/>
  <c r="I1644" i="1" a="1"/>
  <c r="I1644" i="1" s="1"/>
  <c r="G1652" i="1" a="1"/>
  <c r="G1652" i="1" s="1"/>
  <c r="F1652" i="1" a="1"/>
  <c r="F1652" i="1" s="1"/>
  <c r="J1646" i="1" a="1"/>
  <c r="J1646" i="1" s="1"/>
  <c r="H1645" i="1" a="1"/>
  <c r="H1645" i="1" s="1"/>
  <c r="F1646" i="1" a="1"/>
  <c r="F1646" i="1" s="1"/>
  <c r="K1644" i="1" a="1"/>
  <c r="K1644" i="1" s="1"/>
  <c r="H1646" i="1" a="1"/>
  <c r="H1646" i="1" s="1"/>
  <c r="J1645" i="1" a="1"/>
  <c r="J1645" i="1" s="1"/>
  <c r="F1645" i="1" a="1"/>
  <c r="F1645" i="1" s="1"/>
  <c r="H1644" i="1" a="1"/>
  <c r="H1644" i="1" s="1"/>
  <c r="J1644" i="1" a="1"/>
  <c r="J1644" i="1" s="1"/>
  <c r="J1659" i="1" a="1"/>
  <c r="J1659" i="1" s="1"/>
  <c r="G1660" i="1" a="1"/>
  <c r="G1660" i="1" s="1"/>
  <c r="K1658" i="1" a="1"/>
  <c r="K1658" i="1" s="1"/>
  <c r="K1659" i="1" a="1"/>
  <c r="K1659" i="1" s="1"/>
  <c r="I1652" i="1" a="1"/>
  <c r="I1652" i="1" s="1"/>
  <c r="G1659" i="1" a="1"/>
  <c r="G1659" i="1" s="1"/>
  <c r="K1660" i="1" a="1"/>
  <c r="K1660" i="1" s="1"/>
  <c r="F1658" i="1" a="1"/>
  <c r="F1658" i="1" s="1"/>
  <c r="I1660" i="1" a="1"/>
  <c r="I1660" i="1" s="1"/>
  <c r="I1645" i="1" a="1"/>
  <c r="I1645" i="1" s="1"/>
  <c r="I1658" i="1" a="1"/>
  <c r="I1658" i="1" s="1"/>
  <c r="H1652" i="1" a="1"/>
  <c r="H1652" i="1" s="1"/>
  <c r="H1659" i="1" a="1"/>
  <c r="H1659" i="1" s="1"/>
  <c r="F1644" i="1" a="1"/>
  <c r="F1644" i="1" s="1"/>
  <c r="G1644" i="1" a="1"/>
  <c r="G1644" i="1" s="1"/>
  <c r="K1645" i="1" a="1"/>
  <c r="K1645" i="1" s="1"/>
  <c r="J1660" i="1" a="1"/>
  <c r="J1660" i="1" s="1"/>
  <c r="H1660" i="1" a="1"/>
  <c r="H1660" i="1" s="1"/>
  <c r="K1652" i="1" a="1"/>
  <c r="K1652" i="1" s="1"/>
  <c r="K1627" i="1" a="1"/>
  <c r="K1627" i="1" s="1"/>
  <c r="H1623" i="1" a="1"/>
  <c r="H1623" i="1" s="1"/>
  <c r="I1641" i="1" a="1"/>
  <c r="I1641" i="1" s="1"/>
  <c r="F1627" i="1" a="1"/>
  <c r="F1627" i="1" s="1"/>
  <c r="G1626" i="1" a="1"/>
  <c r="G1626" i="1" s="1"/>
  <c r="I1625" i="1" a="1"/>
  <c r="I1625" i="1" s="1"/>
  <c r="K1622" i="1" a="1"/>
  <c r="K1622" i="1" s="1"/>
  <c r="H1640" i="1" a="1"/>
  <c r="H1640" i="1" s="1"/>
  <c r="K1624" i="1" a="1"/>
  <c r="K1624" i="1" s="1"/>
  <c r="I1623" i="1" a="1"/>
  <c r="I1623" i="1" s="1"/>
  <c r="H1626" i="1" a="1"/>
  <c r="H1626" i="1" s="1"/>
  <c r="K1626" i="1" a="1"/>
  <c r="K1626" i="1" s="1"/>
  <c r="I1627" i="1" a="1"/>
  <c r="I1627" i="1" s="1"/>
  <c r="G1623" i="1" a="1"/>
  <c r="G1623" i="1" s="1"/>
  <c r="G1627" i="1" a="1"/>
  <c r="G1627" i="1" s="1"/>
  <c r="K1625" i="1" a="1"/>
  <c r="K1625" i="1" s="1"/>
  <c r="G1624" i="1" a="1"/>
  <c r="G1624" i="1" s="1"/>
  <c r="F1623" i="1" a="1"/>
  <c r="F1623" i="1" s="1"/>
  <c r="K1642" i="1" a="1"/>
  <c r="K1642" i="1" s="1"/>
  <c r="K1640" i="1" a="1"/>
  <c r="K1640" i="1" s="1"/>
  <c r="J1642" i="1" a="1"/>
  <c r="J1642" i="1" s="1"/>
  <c r="I1640" i="1" a="1"/>
  <c r="I1640" i="1" s="1"/>
  <c r="J1627" i="1" a="1"/>
  <c r="J1627" i="1" s="1"/>
  <c r="G1642" i="1" a="1"/>
  <c r="G1642" i="1" s="1"/>
  <c r="F1626" i="1" a="1"/>
  <c r="F1626" i="1" s="1"/>
  <c r="H1641" i="1" a="1"/>
  <c r="H1641" i="1" s="1"/>
  <c r="I1626" i="1" a="1"/>
  <c r="I1626" i="1" s="1"/>
  <c r="F1625" i="1" a="1"/>
  <c r="F1625" i="1" s="1"/>
  <c r="K1623" i="1" a="1"/>
  <c r="K1623" i="1" s="1"/>
  <c r="H1627" i="1" a="1"/>
  <c r="H1627" i="1" s="1"/>
  <c r="J1625" i="1" a="1"/>
  <c r="J1625" i="1" s="1"/>
  <c r="F1624" i="1" a="1"/>
  <c r="F1624" i="1" s="1"/>
  <c r="G1640" i="1" a="1"/>
  <c r="G1640" i="1" s="1"/>
  <c r="I1642" i="1" a="1"/>
  <c r="I1642" i="1" s="1"/>
  <c r="G1625" i="1" a="1"/>
  <c r="G1625" i="1" s="1"/>
  <c r="J1626" i="1" a="1"/>
  <c r="J1626" i="1" s="1"/>
  <c r="H1642" i="1" a="1"/>
  <c r="H1642" i="1" s="1"/>
  <c r="F1642" i="1" a="1"/>
  <c r="F1642" i="1" s="1"/>
  <c r="J1623" i="1" a="1"/>
  <c r="J1623" i="1" s="1"/>
  <c r="K1641" i="1" a="1"/>
  <c r="K1641" i="1" s="1"/>
  <c r="J1641" i="1" a="1"/>
  <c r="J1641" i="1" s="1"/>
  <c r="G1641" i="1" a="1"/>
  <c r="G1641" i="1" s="1"/>
  <c r="F1641" i="1" a="1"/>
  <c r="F1641" i="1" s="1"/>
  <c r="J1640" i="1" a="1"/>
  <c r="J1640" i="1" s="1"/>
  <c r="H1624" i="1" a="1"/>
  <c r="H1624" i="1" s="1"/>
  <c r="H1625" i="1" a="1"/>
  <c r="H1625" i="1" s="1"/>
  <c r="J1624" i="1" a="1"/>
  <c r="J1624" i="1" s="1"/>
  <c r="I1624" i="1" a="1"/>
  <c r="I1624" i="1" s="1"/>
  <c r="F1640" i="1" a="1"/>
  <c r="F1640" i="1" s="1"/>
  <c r="I1611" i="1" a="1"/>
  <c r="I1611" i="1" s="1"/>
  <c r="I1609" i="1" a="1"/>
  <c r="I1609" i="1" s="1"/>
  <c r="J1610" i="1" a="1"/>
  <c r="J1610" i="1" s="1"/>
  <c r="J1620" i="1" a="1"/>
  <c r="J1620" i="1" s="1"/>
  <c r="I1619" i="1" a="1"/>
  <c r="I1619" i="1" s="1"/>
  <c r="J1617" i="1" a="1"/>
  <c r="J1617" i="1" s="1"/>
  <c r="H1611" i="1" a="1"/>
  <c r="H1611" i="1" s="1"/>
  <c r="F1609" i="1" a="1"/>
  <c r="F1609" i="1" s="1"/>
  <c r="G1611" i="1" a="1"/>
  <c r="G1611" i="1" s="1"/>
  <c r="I1610" i="1" a="1"/>
  <c r="I1610" i="1" s="1"/>
  <c r="K1609" i="1" a="1"/>
  <c r="K1609" i="1" s="1"/>
  <c r="I1620" i="1" a="1"/>
  <c r="I1620" i="1" s="1"/>
  <c r="H1620" i="1" a="1"/>
  <c r="H1620" i="1" s="1"/>
  <c r="F1620" i="1" a="1"/>
  <c r="F1620" i="1" s="1"/>
  <c r="J1619" i="1" a="1"/>
  <c r="J1619" i="1" s="1"/>
  <c r="F1617" i="1" a="1"/>
  <c r="F1617" i="1" s="1"/>
  <c r="J1609" i="1" a="1"/>
  <c r="J1609" i="1" s="1"/>
  <c r="G1617" i="1" a="1"/>
  <c r="G1617" i="1" s="1"/>
  <c r="K1610" i="1" a="1"/>
  <c r="K1610" i="1" s="1"/>
  <c r="H1619" i="1" a="1"/>
  <c r="H1619" i="1" s="1"/>
  <c r="G1619" i="1" a="1"/>
  <c r="G1619" i="1" s="1"/>
  <c r="G1610" i="1" a="1"/>
  <c r="G1610" i="1" s="1"/>
  <c r="I1622" i="1" a="1"/>
  <c r="I1622" i="1" s="1"/>
  <c r="F1622" i="1" a="1"/>
  <c r="F1622" i="1" s="1"/>
  <c r="K1621" i="1" a="1"/>
  <c r="K1621" i="1" s="1"/>
  <c r="F1611" i="1" a="1"/>
  <c r="F1611" i="1" s="1"/>
  <c r="H1610" i="1" a="1"/>
  <c r="H1610" i="1" s="1"/>
  <c r="F1621" i="1" a="1"/>
  <c r="F1621" i="1" s="1"/>
  <c r="G1620" i="1" a="1"/>
  <c r="G1620" i="1" s="1"/>
  <c r="K1619" i="1" a="1"/>
  <c r="K1619" i="1" s="1"/>
  <c r="F1610" i="1" a="1"/>
  <c r="F1610" i="1" s="1"/>
  <c r="J1611" i="1" a="1"/>
  <c r="J1611" i="1" s="1"/>
  <c r="H1609" i="1" a="1"/>
  <c r="H1609" i="1" s="1"/>
  <c r="K1611" i="1" a="1"/>
  <c r="K1611" i="1" s="1"/>
  <c r="J1622" i="1" a="1"/>
  <c r="J1622" i="1" s="1"/>
  <c r="H1622" i="1" a="1"/>
  <c r="H1622" i="1" s="1"/>
  <c r="G1622" i="1" a="1"/>
  <c r="G1622" i="1" s="1"/>
  <c r="H1621" i="1" a="1"/>
  <c r="H1621" i="1" s="1"/>
  <c r="J1621" i="1" a="1"/>
  <c r="J1621" i="1" s="1"/>
  <c r="G1609" i="1" a="1"/>
  <c r="G1609" i="1" s="1"/>
  <c r="I1621" i="1" a="1"/>
  <c r="I1621" i="1" s="1"/>
  <c r="K1617" i="1" a="1"/>
  <c r="K1617" i="1" s="1"/>
  <c r="G1621" i="1" a="1"/>
  <c r="G1621" i="1" s="1"/>
  <c r="K1620" i="1" a="1"/>
  <c r="K1620" i="1" s="1"/>
  <c r="H1617" i="1" a="1"/>
  <c r="H1617" i="1" s="1"/>
  <c r="F1619" i="1" a="1"/>
  <c r="F1619" i="1" s="1"/>
  <c r="I1617" i="1" a="1"/>
  <c r="I1617" i="1" s="1"/>
  <c r="F1596" i="1" a="1"/>
  <c r="F1596" i="1" s="1"/>
  <c r="K1596" i="1" a="1"/>
  <c r="K1596" i="1" s="1"/>
  <c r="G1593" i="1" a="1"/>
  <c r="G1593" i="1" s="1"/>
  <c r="J1596" i="1" a="1"/>
  <c r="J1596" i="1" s="1"/>
  <c r="F1602" i="1" a="1"/>
  <c r="F1602" i="1" s="1"/>
  <c r="I1596" i="1" a="1"/>
  <c r="I1596" i="1" s="1"/>
  <c r="H1593" i="1" a="1"/>
  <c r="H1593" i="1" s="1"/>
  <c r="G1596" i="1" a="1"/>
  <c r="G1596" i="1" s="1"/>
  <c r="F1593" i="1" a="1"/>
  <c r="F1593" i="1" s="1"/>
  <c r="J1594" i="1" a="1"/>
  <c r="J1594" i="1" s="1"/>
  <c r="J1603" i="1" a="1"/>
  <c r="J1603" i="1" s="1"/>
  <c r="H1602" i="1" a="1"/>
  <c r="H1602" i="1" s="1"/>
  <c r="I1594" i="1" a="1"/>
  <c r="I1594" i="1" s="1"/>
  <c r="G1594" i="1" a="1"/>
  <c r="G1594" i="1" s="1"/>
  <c r="F1594" i="1" a="1"/>
  <c r="F1594" i="1" s="1"/>
  <c r="I1602" i="1" a="1"/>
  <c r="I1602" i="1" s="1"/>
  <c r="K1593" i="1" a="1"/>
  <c r="K1593" i="1" s="1"/>
  <c r="K1602" i="1" a="1"/>
  <c r="K1602" i="1" s="1"/>
  <c r="H1594" i="1" a="1"/>
  <c r="H1594" i="1" s="1"/>
  <c r="G1602" i="1" a="1"/>
  <c r="G1602" i="1" s="1"/>
  <c r="I1603" i="1" a="1"/>
  <c r="I1603" i="1" s="1"/>
  <c r="J1593" i="1" a="1"/>
  <c r="J1593" i="1" s="1"/>
  <c r="K1603" i="1" a="1"/>
  <c r="K1603" i="1" s="1"/>
  <c r="H1603" i="1" a="1"/>
  <c r="H1603" i="1" s="1"/>
  <c r="J1602" i="1" a="1"/>
  <c r="J1602" i="1" s="1"/>
  <c r="H1596" i="1" a="1"/>
  <c r="H1596" i="1" s="1"/>
  <c r="G1603" i="1" a="1"/>
  <c r="G1603" i="1" s="1"/>
  <c r="K1594" i="1" a="1"/>
  <c r="K1594" i="1" s="1"/>
  <c r="I1593" i="1" a="1"/>
  <c r="I1593" i="1" s="1"/>
  <c r="F1603" i="1" a="1"/>
  <c r="F1603" i="1" s="1"/>
  <c r="F1576" i="1" a="1"/>
  <c r="F1576" i="1" s="1"/>
  <c r="G1579" i="1" a="1"/>
  <c r="G1579" i="1" s="1"/>
  <c r="J1575" i="1" a="1"/>
  <c r="J1575" i="1" s="1"/>
  <c r="K1580" i="1" a="1"/>
  <c r="K1580" i="1" s="1"/>
  <c r="G1578" i="1" a="1"/>
  <c r="G1578" i="1" s="1"/>
  <c r="J1576" i="1" a="1"/>
  <c r="J1576" i="1" s="1"/>
  <c r="J1577" i="1" a="1"/>
  <c r="J1577" i="1" s="1"/>
  <c r="H1579" i="1" a="1"/>
  <c r="H1579" i="1" s="1"/>
  <c r="F1575" i="1" a="1"/>
  <c r="F1575" i="1" s="1"/>
  <c r="G1573" i="1" a="1"/>
  <c r="G1573" i="1" s="1"/>
  <c r="H1580" i="1" a="1"/>
  <c r="H1580" i="1" s="1"/>
  <c r="F1578" i="1" a="1"/>
  <c r="F1578" i="1" s="1"/>
  <c r="K1579" i="1" a="1"/>
  <c r="K1579" i="1" s="1"/>
  <c r="I1579" i="1" a="1"/>
  <c r="I1579" i="1" s="1"/>
  <c r="I1575" i="1" a="1"/>
  <c r="I1575" i="1" s="1"/>
  <c r="J1578" i="1" a="1"/>
  <c r="J1578" i="1" s="1"/>
  <c r="K1575" i="1" a="1"/>
  <c r="K1575" i="1" s="1"/>
  <c r="H1578" i="1" a="1"/>
  <c r="H1578" i="1" s="1"/>
  <c r="K1573" i="1" a="1"/>
  <c r="K1573" i="1" s="1"/>
  <c r="F1577" i="1" a="1"/>
  <c r="F1577" i="1" s="1"/>
  <c r="K1576" i="1" a="1"/>
  <c r="K1576" i="1" s="1"/>
  <c r="I1574" i="1" a="1"/>
  <c r="I1574" i="1" s="1"/>
  <c r="H1574" i="1" a="1"/>
  <c r="H1574" i="1" s="1"/>
  <c r="H1576" i="1" a="1"/>
  <c r="H1576" i="1" s="1"/>
  <c r="K1574" i="1" a="1"/>
  <c r="K1574" i="1" s="1"/>
  <c r="H1573" i="1" a="1"/>
  <c r="H1573" i="1" s="1"/>
  <c r="I1578" i="1" a="1"/>
  <c r="I1578" i="1" s="1"/>
  <c r="H1577" i="1" a="1"/>
  <c r="H1577" i="1" s="1"/>
  <c r="G1574" i="1" a="1"/>
  <c r="G1574" i="1" s="1"/>
  <c r="F1573" i="1" a="1"/>
  <c r="F1573" i="1" s="1"/>
  <c r="J1572" i="1" a="1"/>
  <c r="J1572" i="1" s="1"/>
  <c r="I1577" i="1" a="1"/>
  <c r="I1577" i="1" s="1"/>
  <c r="H1575" i="1" a="1"/>
  <c r="H1575" i="1" s="1"/>
  <c r="J1574" i="1" a="1"/>
  <c r="J1574" i="1" s="1"/>
  <c r="K1572" i="1" a="1"/>
  <c r="K1572" i="1" s="1"/>
  <c r="I1576" i="1" a="1"/>
  <c r="I1576" i="1" s="1"/>
  <c r="G1580" i="1" a="1"/>
  <c r="G1580" i="1" s="1"/>
  <c r="J1580" i="1" a="1"/>
  <c r="J1580" i="1" s="1"/>
  <c r="K1577" i="1" a="1"/>
  <c r="K1577" i="1" s="1"/>
  <c r="I1580" i="1" a="1"/>
  <c r="I1580" i="1" s="1"/>
  <c r="F1580" i="1" a="1"/>
  <c r="F1580" i="1" s="1"/>
  <c r="F1574" i="1" a="1"/>
  <c r="F1574" i="1" s="1"/>
  <c r="K1578" i="1" a="1"/>
  <c r="K1578" i="1" s="1"/>
  <c r="G1577" i="1" a="1"/>
  <c r="G1577" i="1" s="1"/>
  <c r="J1573" i="1" a="1"/>
  <c r="J1573" i="1" s="1"/>
  <c r="I1573" i="1" a="1"/>
  <c r="I1573" i="1" s="1"/>
  <c r="F1579" i="1" a="1"/>
  <c r="F1579" i="1" s="1"/>
  <c r="J1579" i="1" a="1"/>
  <c r="J1579" i="1" s="1"/>
  <c r="G1576" i="1" a="1"/>
  <c r="G1576" i="1" s="1"/>
  <c r="G1575" i="1" a="1"/>
  <c r="G1575" i="1" s="1"/>
  <c r="J1556" i="1" a="1"/>
  <c r="J1556" i="1" s="1"/>
  <c r="F1555" i="1" a="1"/>
  <c r="F1555" i="1" s="1"/>
  <c r="J1555" i="1" a="1"/>
  <c r="J1555" i="1" s="1"/>
  <c r="I1572" i="1" a="1"/>
  <c r="I1572" i="1" s="1"/>
  <c r="F1572" i="1" a="1"/>
  <c r="F1572" i="1" s="1"/>
  <c r="G1570" i="1" a="1"/>
  <c r="G1570" i="1" s="1"/>
  <c r="J1563" i="1" a="1"/>
  <c r="J1563" i="1" s="1"/>
  <c r="G1555" i="1" a="1"/>
  <c r="G1555" i="1" s="1"/>
  <c r="I1562" i="1" a="1"/>
  <c r="I1562" i="1" s="1"/>
  <c r="K1570" i="1" a="1"/>
  <c r="K1570" i="1" s="1"/>
  <c r="H1570" i="1" a="1"/>
  <c r="H1570" i="1" s="1"/>
  <c r="K1564" i="1" a="1"/>
  <c r="K1564" i="1" s="1"/>
  <c r="G1562" i="1" a="1"/>
  <c r="G1562" i="1" s="1"/>
  <c r="J1564" i="1" a="1"/>
  <c r="J1564" i="1" s="1"/>
  <c r="F1562" i="1" a="1"/>
  <c r="F1562" i="1" s="1"/>
  <c r="K1556" i="1" a="1"/>
  <c r="K1556" i="1" s="1"/>
  <c r="F1556" i="1" a="1"/>
  <c r="F1556" i="1" s="1"/>
  <c r="H1556" i="1" a="1"/>
  <c r="H1556" i="1" s="1"/>
  <c r="F1563" i="1" a="1"/>
  <c r="F1563" i="1" s="1"/>
  <c r="I1564" i="1" a="1"/>
  <c r="I1564" i="1" s="1"/>
  <c r="I1555" i="1" a="1"/>
  <c r="I1555" i="1" s="1"/>
  <c r="F1564" i="1" a="1"/>
  <c r="F1564" i="1" s="1"/>
  <c r="H1562" i="1" a="1"/>
  <c r="H1562" i="1" s="1"/>
  <c r="G1556" i="1" a="1"/>
  <c r="G1556" i="1" s="1"/>
  <c r="H1563" i="1" a="1"/>
  <c r="H1563" i="1" s="1"/>
  <c r="K1562" i="1" a="1"/>
  <c r="K1562" i="1" s="1"/>
  <c r="K1555" i="1" a="1"/>
  <c r="K1555" i="1" s="1"/>
  <c r="F1570" i="1" a="1"/>
  <c r="F1570" i="1" s="1"/>
  <c r="H1564" i="1" a="1"/>
  <c r="H1564" i="1" s="1"/>
  <c r="H1555" i="1" a="1"/>
  <c r="H1555" i="1" s="1"/>
  <c r="I1563" i="1" a="1"/>
  <c r="I1563" i="1" s="1"/>
  <c r="G1572" i="1" a="1"/>
  <c r="G1572" i="1" s="1"/>
  <c r="J1562" i="1" a="1"/>
  <c r="J1562" i="1" s="1"/>
  <c r="H1572" i="1" a="1"/>
  <c r="H1572" i="1" s="1"/>
  <c r="J1570" i="1" a="1"/>
  <c r="J1570" i="1" s="1"/>
  <c r="G1563" i="1" a="1"/>
  <c r="G1563" i="1" s="1"/>
  <c r="K1563" i="1" a="1"/>
  <c r="K1563" i="1" s="1"/>
  <c r="I1570" i="1" a="1"/>
  <c r="I1570" i="1" s="1"/>
  <c r="I1556" i="1" a="1"/>
  <c r="I1556" i="1" s="1"/>
  <c r="G1564" i="1" a="1"/>
  <c r="G1564" i="1" s="1"/>
  <c r="J1518" i="1" a="1"/>
  <c r="J1518" i="1" s="1"/>
  <c r="H1518" i="1" a="1"/>
  <c r="H1518" i="1" s="1"/>
  <c r="K1514" i="1" a="1"/>
  <c r="K1514" i="1" s="1"/>
  <c r="J1514" i="1" a="1"/>
  <c r="J1514" i="1" s="1"/>
  <c r="F1521" i="1" a="1"/>
  <c r="F1521" i="1" s="1"/>
  <c r="F1524" i="1" a="1"/>
  <c r="F1524" i="1" s="1"/>
  <c r="G1523" i="1" a="1"/>
  <c r="G1523" i="1" s="1"/>
  <c r="F1523" i="1" a="1"/>
  <c r="F1523" i="1" s="1"/>
  <c r="K1521" i="1" a="1"/>
  <c r="K1521" i="1" s="1"/>
  <c r="J1524" i="1" a="1"/>
  <c r="J1524" i="1" s="1"/>
  <c r="I1524" i="1" a="1"/>
  <c r="I1524" i="1" s="1"/>
  <c r="H1522" i="1" a="1"/>
  <c r="H1522" i="1" s="1"/>
  <c r="I1518" i="1" a="1"/>
  <c r="I1518" i="1" s="1"/>
  <c r="J1522" i="1" a="1"/>
  <c r="J1522" i="1" s="1"/>
  <c r="H1524" i="1" a="1"/>
  <c r="H1524" i="1" s="1"/>
  <c r="H1523" i="1" a="1"/>
  <c r="H1523" i="1" s="1"/>
  <c r="G1521" i="1" a="1"/>
  <c r="G1521" i="1" s="1"/>
  <c r="H1517" i="1" a="1"/>
  <c r="H1517" i="1" s="1"/>
  <c r="K1519" i="1" a="1"/>
  <c r="K1519" i="1" s="1"/>
  <c r="K1522" i="1" a="1"/>
  <c r="K1522" i="1" s="1"/>
  <c r="I1520" i="1" a="1"/>
  <c r="I1520" i="1" s="1"/>
  <c r="G1522" i="1" a="1"/>
  <c r="G1522" i="1" s="1"/>
  <c r="I1521" i="1" a="1"/>
  <c r="I1521" i="1" s="1"/>
  <c r="J1515" i="1" a="1"/>
  <c r="J1515" i="1" s="1"/>
  <c r="G1524" i="1" a="1"/>
  <c r="G1524" i="1" s="1"/>
  <c r="K1523" i="1" a="1"/>
  <c r="K1523" i="1" s="1"/>
  <c r="J1521" i="1" a="1"/>
  <c r="J1521" i="1" s="1"/>
  <c r="J1519" i="1" a="1"/>
  <c r="J1519" i="1" s="1"/>
  <c r="J1517" i="1" a="1"/>
  <c r="J1517" i="1" s="1"/>
  <c r="I1517" i="1" a="1"/>
  <c r="I1517" i="1" s="1"/>
  <c r="F1515" i="1" a="1"/>
  <c r="F1515" i="1" s="1"/>
  <c r="G1517" i="1" a="1"/>
  <c r="G1517" i="1" s="1"/>
  <c r="G1515" i="1" a="1"/>
  <c r="G1515" i="1" s="1"/>
  <c r="F1517" i="1" a="1"/>
  <c r="F1517" i="1" s="1"/>
  <c r="J1523" i="1" a="1"/>
  <c r="J1523" i="1" s="1"/>
  <c r="I1523" i="1" a="1"/>
  <c r="I1523" i="1" s="1"/>
  <c r="I1522" i="1" a="1"/>
  <c r="I1522" i="1" s="1"/>
  <c r="K1518" i="1" a="1"/>
  <c r="K1518" i="1" s="1"/>
  <c r="F1522" i="1" a="1"/>
  <c r="F1522" i="1" s="1"/>
  <c r="F1519" i="1" a="1"/>
  <c r="F1519" i="1" s="1"/>
  <c r="H1521" i="1" a="1"/>
  <c r="H1521" i="1" s="1"/>
  <c r="K1520" i="1" a="1"/>
  <c r="K1520" i="1" s="1"/>
  <c r="K1515" i="1" a="1"/>
  <c r="K1515" i="1" s="1"/>
  <c r="J1520" i="1" a="1"/>
  <c r="J1520" i="1" s="1"/>
  <c r="H1520" i="1" a="1"/>
  <c r="H1520" i="1" s="1"/>
  <c r="G1520" i="1" a="1"/>
  <c r="G1520" i="1" s="1"/>
  <c r="F1520" i="1" a="1"/>
  <c r="F1520" i="1" s="1"/>
  <c r="I1519" i="1" a="1"/>
  <c r="I1519" i="1" s="1"/>
  <c r="F1518" i="1" a="1"/>
  <c r="F1518" i="1" s="1"/>
  <c r="K1517" i="1" a="1"/>
  <c r="K1517" i="1" s="1"/>
  <c r="I1515" i="1" a="1"/>
  <c r="I1515" i="1" s="1"/>
  <c r="H1515" i="1" a="1"/>
  <c r="H1515" i="1"/>
  <c r="G1518" i="1" a="1"/>
  <c r="G1518" i="1" s="1"/>
  <c r="G1519" i="1" a="1"/>
  <c r="G1519" i="1"/>
  <c r="H1519" i="1" a="1"/>
  <c r="H1519" i="1" s="1"/>
  <c r="F1511" i="1" a="1"/>
  <c r="F1511" i="1" s="1"/>
  <c r="I1502" i="1" a="1"/>
  <c r="I1502" i="1" s="1"/>
  <c r="K1511" i="1" a="1"/>
  <c r="K1511" i="1"/>
  <c r="G1511" i="1" a="1"/>
  <c r="G1511" i="1" s="1"/>
  <c r="G1502" i="1" a="1"/>
  <c r="G1502" i="1" s="1"/>
  <c r="G1514" i="1" a="1"/>
  <c r="G1514" i="1" s="1"/>
  <c r="I1513" i="1" a="1"/>
  <c r="I1513" i="1" s="1"/>
  <c r="I1503" i="1" a="1"/>
  <c r="I1503" i="1" s="1"/>
  <c r="F1502" i="1" a="1"/>
  <c r="F1502" i="1" s="1"/>
  <c r="J1505" i="1" a="1"/>
  <c r="J1505" i="1"/>
  <c r="I1504" i="1" a="1"/>
  <c r="I1504" i="1" s="1"/>
  <c r="G1503" i="1" a="1"/>
  <c r="G1503" i="1"/>
  <c r="I1514" i="1" a="1"/>
  <c r="I1514" i="1"/>
  <c r="J1513" i="1" a="1"/>
  <c r="J1513" i="1" s="1"/>
  <c r="H1513" i="1" a="1"/>
  <c r="H1513" i="1" s="1"/>
  <c r="I1512" i="1" a="1"/>
  <c r="I1512" i="1"/>
  <c r="J1511" i="1" a="1"/>
  <c r="J1511" i="1" s="1"/>
  <c r="H1505" i="1" a="1"/>
  <c r="H1505" i="1"/>
  <c r="K1502" i="1" a="1"/>
  <c r="K1502" i="1" s="1"/>
  <c r="H1502" i="1" a="1"/>
  <c r="H1502" i="1"/>
  <c r="K1504" i="1" a="1"/>
  <c r="K1504" i="1" s="1"/>
  <c r="F1504" i="1" a="1"/>
  <c r="F1504" i="1" s="1"/>
  <c r="K1512" i="1" a="1"/>
  <c r="K1512" i="1" s="1"/>
  <c r="J1512" i="1" a="1"/>
  <c r="J1512" i="1" s="1"/>
  <c r="F1512" i="1" a="1"/>
  <c r="F1512" i="1" s="1"/>
  <c r="I1511" i="1" a="1"/>
  <c r="I1511" i="1" s="1"/>
  <c r="H1504" i="1" a="1"/>
  <c r="H1504" i="1" s="1"/>
  <c r="K1505" i="1" a="1"/>
  <c r="K1505" i="1" s="1"/>
  <c r="J1503" i="1" a="1"/>
  <c r="J1503" i="1" s="1"/>
  <c r="F1503" i="1" a="1"/>
  <c r="F1503" i="1" s="1"/>
  <c r="H1503" i="1" a="1"/>
  <c r="H1503" i="1"/>
  <c r="J1502" i="1" a="1"/>
  <c r="J1502" i="1" s="1"/>
  <c r="F1505" i="1" a="1"/>
  <c r="F1505" i="1"/>
  <c r="K1503" i="1" a="1"/>
  <c r="K1503" i="1" s="1"/>
  <c r="I1505" i="1" a="1"/>
  <c r="I1505" i="1"/>
  <c r="J1504" i="1" a="1"/>
  <c r="J1504" i="1" s="1"/>
  <c r="G1505" i="1" a="1"/>
  <c r="G1505" i="1"/>
  <c r="G1513" i="1" a="1"/>
  <c r="G1513" i="1" s="1"/>
  <c r="H1514" i="1" a="1"/>
  <c r="H1514" i="1"/>
  <c r="H1512" i="1" a="1"/>
  <c r="H1512" i="1" s="1"/>
  <c r="G1504" i="1" a="1"/>
  <c r="G1504" i="1"/>
  <c r="F1514" i="1" a="1"/>
  <c r="F1514" i="1" s="1"/>
  <c r="K1513" i="1" a="1"/>
  <c r="K1513" i="1" s="1"/>
  <c r="F1513" i="1" a="1"/>
  <c r="F1513" i="1" s="1"/>
  <c r="H1511" i="1" a="1"/>
  <c r="H1511" i="1"/>
  <c r="G1512" i="1" a="1"/>
  <c r="G1512" i="1" s="1"/>
  <c r="I1499" i="1" a="1"/>
  <c r="I1499" i="1" s="1"/>
  <c r="K1490" i="1" a="1"/>
  <c r="K1490" i="1" s="1"/>
  <c r="H1499" i="1" a="1"/>
  <c r="H1499" i="1" s="1"/>
  <c r="G1490" i="1" a="1"/>
  <c r="G1490" i="1" s="1"/>
  <c r="G1499" i="1" a="1"/>
  <c r="G1499" i="1" s="1"/>
  <c r="G1500" i="1" a="1"/>
  <c r="G1500" i="1"/>
  <c r="K1485" i="1" a="1"/>
  <c r="K1485" i="1" s="1"/>
  <c r="H1490" i="1" a="1"/>
  <c r="H1490" i="1" s="1"/>
  <c r="K1500" i="1" a="1"/>
  <c r="K1500" i="1" s="1"/>
  <c r="H1500" i="1" a="1"/>
  <c r="H1500" i="1"/>
  <c r="F1500" i="1" a="1"/>
  <c r="F1500" i="1" s="1"/>
  <c r="J1499" i="1" a="1"/>
  <c r="J1499" i="1"/>
  <c r="I1498" i="1" a="1"/>
  <c r="I1498" i="1" s="1"/>
  <c r="F1497" i="1" a="1"/>
  <c r="F1497" i="1"/>
  <c r="F1490" i="1" a="1"/>
  <c r="F1490" i="1" s="1"/>
  <c r="F1492" i="1" a="1"/>
  <c r="F1492" i="1"/>
  <c r="J1492" i="1" a="1"/>
  <c r="J1492" i="1" s="1"/>
  <c r="K1499" i="1" a="1"/>
  <c r="K1499" i="1" s="1"/>
  <c r="J1497" i="1" a="1"/>
  <c r="J1497" i="1"/>
  <c r="I1497" i="1" a="1"/>
  <c r="I1497" i="1"/>
  <c r="I1485" i="1" a="1"/>
  <c r="I1485" i="1" s="1"/>
  <c r="H1498" i="1" a="1"/>
  <c r="H1498" i="1" s="1"/>
  <c r="G1498" i="1" a="1"/>
  <c r="G1498" i="1" s="1"/>
  <c r="G1492" i="1" a="1"/>
  <c r="G1492" i="1" s="1"/>
  <c r="K1492" i="1" a="1"/>
  <c r="K1492" i="1" s="1"/>
  <c r="F1498" i="1" a="1"/>
  <c r="F1498" i="1" s="1"/>
  <c r="K1497" i="1" a="1"/>
  <c r="K1497" i="1"/>
  <c r="H1485" i="1" a="1"/>
  <c r="H1485" i="1" s="1"/>
  <c r="H1497" i="1" a="1"/>
  <c r="H1497" i="1" s="1"/>
  <c r="I1492" i="1" a="1"/>
  <c r="I1492" i="1" s="1"/>
  <c r="J1490" i="1" a="1"/>
  <c r="J1490" i="1"/>
  <c r="J1485" i="1" a="1"/>
  <c r="J1485" i="1" s="1"/>
  <c r="I1490" i="1" a="1"/>
  <c r="I1490" i="1"/>
  <c r="F1499" i="1" a="1"/>
  <c r="F1499" i="1" s="1"/>
  <c r="J1498" i="1" a="1"/>
  <c r="J1498" i="1"/>
  <c r="G1497" i="1" a="1"/>
  <c r="G1497" i="1" s="1"/>
  <c r="J1500" i="1" a="1"/>
  <c r="J1500" i="1"/>
  <c r="I1500" i="1" a="1"/>
  <c r="I1500" i="1" s="1"/>
  <c r="K1498" i="1" a="1"/>
  <c r="K1498" i="1" s="1"/>
  <c r="H1492" i="1" a="1"/>
  <c r="H1492" i="1"/>
  <c r="G1456" i="1" a="1"/>
  <c r="G1456" i="1"/>
  <c r="I1453" i="1" a="1"/>
  <c r="I1453" i="1" s="1"/>
  <c r="I1456" i="1" a="1"/>
  <c r="I1456" i="1" s="1"/>
  <c r="G1453" i="1" a="1"/>
  <c r="G1453" i="1" s="1"/>
  <c r="I1483" i="1" a="1"/>
  <c r="I1483" i="1" s="1"/>
  <c r="G1483" i="1" a="1"/>
  <c r="G1483" i="1" s="1"/>
  <c r="K1455" i="1" a="1"/>
  <c r="K1455" i="1" s="1"/>
  <c r="F1454" i="1" a="1"/>
  <c r="F1454" i="1" s="1"/>
  <c r="J1453" i="1" a="1"/>
  <c r="J1453" i="1" s="1"/>
  <c r="H1483" i="1" a="1"/>
  <c r="H1483" i="1" s="1"/>
  <c r="H1453" i="1" a="1"/>
  <c r="H1453" i="1" s="1"/>
  <c r="F1456" i="1" a="1"/>
  <c r="F1456" i="1"/>
  <c r="H1456" i="1" a="1"/>
  <c r="H1456" i="1" s="1"/>
  <c r="H1455" i="1" a="1"/>
  <c r="H1455" i="1"/>
  <c r="K1453" i="1" a="1"/>
  <c r="K1453" i="1" s="1"/>
  <c r="I1455" i="1" a="1"/>
  <c r="I1455" i="1"/>
  <c r="K1452" i="1" a="1"/>
  <c r="K1452" i="1" s="1"/>
  <c r="J1483" i="1" a="1"/>
  <c r="J1483" i="1" s="1"/>
  <c r="G1455" i="1" a="1"/>
  <c r="G1455" i="1"/>
  <c r="J1456" i="1" a="1"/>
  <c r="J1456" i="1" s="1"/>
  <c r="G1485" i="1" a="1"/>
  <c r="G1485" i="1"/>
  <c r="F1485" i="1" a="1"/>
  <c r="F1485" i="1"/>
  <c r="J1455" i="1" a="1"/>
  <c r="J1455" i="1" s="1"/>
  <c r="F1455" i="1" a="1"/>
  <c r="F1455" i="1" s="1"/>
  <c r="I1454" i="1" a="1"/>
  <c r="I1454" i="1" s="1"/>
  <c r="H1454" i="1" a="1"/>
  <c r="H1454" i="1" s="1"/>
  <c r="K1454" i="1" a="1"/>
  <c r="K1454" i="1" s="1"/>
  <c r="J1454" i="1" a="1"/>
  <c r="J1454" i="1" s="1"/>
  <c r="K1483" i="1" a="1"/>
  <c r="K1483" i="1"/>
  <c r="F1483" i="1" a="1"/>
  <c r="F1483" i="1" s="1"/>
  <c r="G1454" i="1" a="1"/>
  <c r="G1454" i="1" s="1"/>
  <c r="F1453" i="1" a="1"/>
  <c r="F1453" i="1" s="1"/>
  <c r="K1456" i="1" a="1"/>
  <c r="K1456" i="1"/>
  <c r="K1445" i="1" a="1"/>
  <c r="K1445" i="1" s="1"/>
  <c r="G1451" i="1" a="1"/>
  <c r="G1451" i="1"/>
  <c r="K1448" i="1" a="1"/>
  <c r="K1448" i="1" s="1"/>
  <c r="F1451" i="1" a="1"/>
  <c r="F1451" i="1"/>
  <c r="I1450" i="1" a="1"/>
  <c r="I1450" i="1" s="1"/>
  <c r="F1449" i="1" a="1"/>
  <c r="F1449" i="1" s="1"/>
  <c r="F1448" i="1" a="1"/>
  <c r="F1448" i="1"/>
  <c r="K1444" i="1" a="1"/>
  <c r="K1444" i="1" s="1"/>
  <c r="I1442" i="1" a="1"/>
  <c r="I1442" i="1"/>
  <c r="H1450" i="1" a="1"/>
  <c r="H1450" i="1"/>
  <c r="J1446" i="1" a="1"/>
  <c r="J1446" i="1" s="1"/>
  <c r="H1449" i="1" a="1"/>
  <c r="H1449" i="1" s="1"/>
  <c r="F1444" i="1" a="1"/>
  <c r="F1444" i="1" s="1"/>
  <c r="H1442" i="1" a="1"/>
  <c r="H1442" i="1" s="1"/>
  <c r="I1448" i="1" a="1"/>
  <c r="I1448" i="1" s="1"/>
  <c r="J1442" i="1" a="1"/>
  <c r="J1442" i="1" s="1"/>
  <c r="K1447" i="1" a="1"/>
  <c r="K1447" i="1"/>
  <c r="G1452" i="1" a="1"/>
  <c r="G1452" i="1" s="1"/>
  <c r="I1451" i="1" a="1"/>
  <c r="I1451" i="1" s="1"/>
  <c r="G1448" i="1" a="1"/>
  <c r="G1448" i="1" s="1"/>
  <c r="H1443" i="1" a="1"/>
  <c r="H1443" i="1"/>
  <c r="J1450" i="1" a="1"/>
  <c r="J1450" i="1" s="1"/>
  <c r="G1449" i="1" a="1"/>
  <c r="G1449" i="1"/>
  <c r="G1445" i="1" a="1"/>
  <c r="G1445" i="1" s="1"/>
  <c r="I1447" i="1" a="1"/>
  <c r="I1447" i="1" s="1"/>
  <c r="K1443" i="1" a="1"/>
  <c r="K1443" i="1" s="1"/>
  <c r="G1450" i="1" a="1"/>
  <c r="G1450" i="1" s="1"/>
  <c r="J1448" i="1" a="1"/>
  <c r="J1448" i="1"/>
  <c r="G1443" i="1" a="1"/>
  <c r="G1443" i="1" s="1"/>
  <c r="H1445" i="1" a="1"/>
  <c r="H1445" i="1"/>
  <c r="F1446" i="1" a="1"/>
  <c r="F1446" i="1"/>
  <c r="F1450" i="1" a="1"/>
  <c r="F1450" i="1" s="1"/>
  <c r="K1446" i="1" a="1"/>
  <c r="K1446" i="1" s="1"/>
  <c r="J1449" i="1" a="1"/>
  <c r="J1449" i="1" s="1"/>
  <c r="F1447" i="1" a="1"/>
  <c r="F1447" i="1" s="1"/>
  <c r="H1446" i="1" a="1"/>
  <c r="H1446" i="1"/>
  <c r="J1445" i="1" a="1"/>
  <c r="J1445" i="1" s="1"/>
  <c r="G1444" i="1" a="1"/>
  <c r="G1444" i="1"/>
  <c r="G1442" i="1" a="1"/>
  <c r="G1442" i="1" s="1"/>
  <c r="H1448" i="1" a="1"/>
  <c r="H1448" i="1" s="1"/>
  <c r="F1445" i="1" a="1"/>
  <c r="F1445" i="1" s="1"/>
  <c r="J1443" i="1" a="1"/>
  <c r="J1443" i="1"/>
  <c r="J1452" i="1" a="1"/>
  <c r="J1452" i="1" s="1"/>
  <c r="I1452" i="1" a="1"/>
  <c r="I1452" i="1"/>
  <c r="K1451" i="1" a="1"/>
  <c r="K1451" i="1" s="1"/>
  <c r="J1447" i="1" a="1"/>
  <c r="J1447" i="1" s="1"/>
  <c r="F1443" i="1" a="1"/>
  <c r="F1443" i="1" s="1"/>
  <c r="H1444" i="1" a="1"/>
  <c r="H1444" i="1" s="1"/>
  <c r="G1446" i="1" a="1"/>
  <c r="G1446" i="1"/>
  <c r="K1442" i="1" a="1"/>
  <c r="K1442" i="1" s="1"/>
  <c r="K1450" i="1" a="1"/>
  <c r="K1450" i="1"/>
  <c r="I1444" i="1" a="1"/>
  <c r="I1444" i="1"/>
  <c r="I1443" i="1" a="1"/>
  <c r="I1443" i="1" s="1"/>
  <c r="K1449" i="1" a="1"/>
  <c r="K1449" i="1" s="1"/>
  <c r="I1445" i="1" a="1"/>
  <c r="I1445" i="1" s="1"/>
  <c r="J1444" i="1" a="1"/>
  <c r="J1444" i="1" s="1"/>
  <c r="H1452" i="1" a="1"/>
  <c r="H1452" i="1"/>
  <c r="I1446" i="1" a="1"/>
  <c r="I1446" i="1" s="1"/>
  <c r="H1447" i="1" a="1"/>
  <c r="H1447" i="1"/>
  <c r="G1447" i="1" a="1"/>
  <c r="G1447" i="1" s="1"/>
  <c r="I1449" i="1" a="1"/>
  <c r="I1449" i="1" s="1"/>
  <c r="F1452" i="1" a="1"/>
  <c r="F1452" i="1" s="1"/>
  <c r="J1451" i="1" a="1"/>
  <c r="J1451" i="1"/>
  <c r="H1451" i="1" a="1"/>
  <c r="H1451" i="1" s="1"/>
  <c r="H1436" i="1" a="1"/>
  <c r="H1436" i="1" s="1"/>
  <c r="G1435" i="1" a="1"/>
  <c r="G1435" i="1" s="1"/>
  <c r="J1441" i="1" a="1"/>
  <c r="J1441" i="1" s="1"/>
  <c r="H1441" i="1" a="1"/>
  <c r="H1441" i="1" s="1"/>
  <c r="G1441" i="1" a="1"/>
  <c r="G1441" i="1" s="1"/>
  <c r="K1437" i="1" a="1"/>
  <c r="K1437" i="1"/>
  <c r="J1435" i="1" a="1"/>
  <c r="J1435" i="1" s="1"/>
  <c r="F1437" i="1" a="1"/>
  <c r="F1437" i="1"/>
  <c r="F1435" i="1" a="1"/>
  <c r="F1435" i="1"/>
  <c r="F1441" i="1" a="1"/>
  <c r="F1441" i="1" s="1"/>
  <c r="H1440" i="1" a="1"/>
  <c r="H1440" i="1" s="1"/>
  <c r="K1439" i="1" a="1"/>
  <c r="K1439" i="1"/>
  <c r="K1435" i="1" a="1"/>
  <c r="K1435" i="1" s="1"/>
  <c r="H1434" i="1" a="1"/>
  <c r="H1434" i="1"/>
  <c r="J1439" i="1" a="1"/>
  <c r="J1439" i="1" s="1"/>
  <c r="F1439" i="1" a="1"/>
  <c r="F1439" i="1"/>
  <c r="K1431" i="1" a="1"/>
  <c r="K1431" i="1" s="1"/>
  <c r="I1438" i="1" a="1"/>
  <c r="I1438" i="1" s="1"/>
  <c r="F1438" i="1" a="1"/>
  <c r="F1438" i="1" s="1"/>
  <c r="H1435" i="1" a="1"/>
  <c r="H1435" i="1"/>
  <c r="J1436" i="1" a="1"/>
  <c r="J1436" i="1" s="1"/>
  <c r="I1437" i="1" a="1"/>
  <c r="I1437" i="1" s="1"/>
  <c r="G1434" i="1" a="1"/>
  <c r="G1434" i="1" s="1"/>
  <c r="I1436" i="1" a="1"/>
  <c r="I1436" i="1" s="1"/>
  <c r="F1434" i="1" a="1"/>
  <c r="F1434" i="1" s="1"/>
  <c r="J1432" i="1" a="1"/>
  <c r="J1432" i="1" s="1"/>
  <c r="K1432" i="1" a="1"/>
  <c r="K1432" i="1"/>
  <c r="K1440" i="1" a="1"/>
  <c r="K1440" i="1" s="1"/>
  <c r="I1434" i="1" a="1"/>
  <c r="I1434" i="1"/>
  <c r="H1437" i="1" a="1"/>
  <c r="H1437" i="1"/>
  <c r="F1442" i="1" a="1"/>
  <c r="F1442" i="1" s="1"/>
  <c r="K1436" i="1" a="1"/>
  <c r="K1436" i="1" s="1"/>
  <c r="G1440" i="1" a="1"/>
  <c r="G1440" i="1"/>
  <c r="I1435" i="1" a="1"/>
  <c r="I1435" i="1" s="1"/>
  <c r="H1439" i="1" a="1"/>
  <c r="H1439" i="1"/>
  <c r="J1437" i="1" a="1"/>
  <c r="J1437" i="1" s="1"/>
  <c r="F1436" i="1" a="1"/>
  <c r="F1436" i="1"/>
  <c r="K1434" i="1" a="1"/>
  <c r="K1434" i="1" s="1"/>
  <c r="K1441" i="1" a="1"/>
  <c r="K1441" i="1" s="1"/>
  <c r="I1441" i="1" a="1"/>
  <c r="I1441" i="1" s="1"/>
  <c r="G1436" i="1" a="1"/>
  <c r="G1436" i="1" s="1"/>
  <c r="J1440" i="1" a="1"/>
  <c r="J1440" i="1" s="1"/>
  <c r="I1432" i="1" a="1"/>
  <c r="I1432" i="1" s="1"/>
  <c r="I1440" i="1" a="1"/>
  <c r="I1440" i="1" s="1"/>
  <c r="K1438" i="1" a="1"/>
  <c r="K1438" i="1" s="1"/>
  <c r="J1434" i="1" a="1"/>
  <c r="J1434" i="1" s="1"/>
  <c r="H1438" i="1" a="1"/>
  <c r="H1438" i="1" s="1"/>
  <c r="G1432" i="1" a="1"/>
  <c r="G1432" i="1"/>
  <c r="F1432" i="1" a="1"/>
  <c r="F1432" i="1" s="1"/>
  <c r="F1440" i="1" a="1"/>
  <c r="F1440" i="1"/>
  <c r="I1439" i="1" a="1"/>
  <c r="I1439" i="1" s="1"/>
  <c r="H1432" i="1" a="1"/>
  <c r="H1432" i="1" s="1"/>
  <c r="G1437" i="1" a="1"/>
  <c r="G1437" i="1" s="1"/>
  <c r="G1439" i="1" a="1"/>
  <c r="G1439" i="1" s="1"/>
  <c r="J1438" i="1" a="1"/>
  <c r="J1438" i="1" s="1"/>
  <c r="G1438" i="1" a="1"/>
  <c r="G1438" i="1" s="1"/>
  <c r="J1419" i="1" a="1"/>
  <c r="J1419" i="1" s="1"/>
  <c r="G1420" i="1" a="1"/>
  <c r="G1420" i="1" s="1"/>
  <c r="K1428" i="1" a="1"/>
  <c r="K1428" i="1" s="1"/>
  <c r="K1422" i="1" a="1"/>
  <c r="K1422" i="1" s="1"/>
  <c r="H1428" i="1" a="1"/>
  <c r="H1428" i="1" s="1"/>
  <c r="F1422" i="1" a="1"/>
  <c r="F1422" i="1" s="1"/>
  <c r="I1422" i="1" a="1"/>
  <c r="I1422" i="1" s="1"/>
  <c r="H1430" i="1" a="1"/>
  <c r="H1430" i="1" s="1"/>
  <c r="F1430" i="1" a="1"/>
  <c r="F1430" i="1" s="1"/>
  <c r="I1428" i="1" a="1"/>
  <c r="I1428" i="1" s="1"/>
  <c r="H1420" i="1" a="1"/>
  <c r="H1420" i="1" s="1"/>
  <c r="G1428" i="1" a="1"/>
  <c r="G1428" i="1" s="1"/>
  <c r="K1421" i="1" a="1"/>
  <c r="K1421" i="1" s="1"/>
  <c r="F1421" i="1" a="1"/>
  <c r="F1421" i="1" s="1"/>
  <c r="K1419" i="1" a="1"/>
  <c r="K1419" i="1" s="1"/>
  <c r="J1422" i="1" a="1"/>
  <c r="J1422" i="1" s="1"/>
  <c r="G1422" i="1" a="1"/>
  <c r="G1422" i="1" s="1"/>
  <c r="J1420" i="1" a="1"/>
  <c r="J1420" i="1" s="1"/>
  <c r="J1421" i="1" a="1"/>
  <c r="J1421" i="1" s="1"/>
  <c r="J1431" i="1" a="1"/>
  <c r="J1431" i="1" s="1"/>
  <c r="H1431" i="1" a="1"/>
  <c r="H1431" i="1" s="1"/>
  <c r="I1431" i="1" a="1"/>
  <c r="I1431" i="1" s="1"/>
  <c r="F1429" i="1" a="1"/>
  <c r="F1429" i="1" s="1"/>
  <c r="K1420" i="1" a="1"/>
  <c r="K1420" i="1" s="1"/>
  <c r="G1429" i="1" a="1"/>
  <c r="G1429" i="1" s="1"/>
  <c r="I1421" i="1" a="1"/>
  <c r="I1421" i="1" s="1"/>
  <c r="G1421" i="1" a="1"/>
  <c r="G1421" i="1" s="1"/>
  <c r="I1420" i="1" a="1"/>
  <c r="I1420" i="1" s="1"/>
  <c r="J1429" i="1" a="1"/>
  <c r="J1429" i="1" s="1"/>
  <c r="J1428" i="1" a="1"/>
  <c r="J1428" i="1" s="1"/>
  <c r="H1422" i="1" a="1"/>
  <c r="H1422" i="1" s="1"/>
  <c r="G1431" i="1" a="1"/>
  <c r="G1431" i="1" s="1"/>
  <c r="F1431" i="1" a="1"/>
  <c r="F1431" i="1" s="1"/>
  <c r="F1428" i="1" a="1"/>
  <c r="F1428" i="1" s="1"/>
  <c r="K1430" i="1" a="1"/>
  <c r="K1430" i="1" s="1"/>
  <c r="J1430" i="1" a="1"/>
  <c r="J1430" i="1" s="1"/>
  <c r="I1429" i="1" a="1"/>
  <c r="I1429" i="1" s="1"/>
  <c r="F1420" i="1" a="1"/>
  <c r="F1420" i="1" s="1"/>
  <c r="H1421" i="1" a="1"/>
  <c r="H1421" i="1" s="1"/>
  <c r="I1430" i="1" a="1"/>
  <c r="I1430" i="1" s="1"/>
  <c r="G1430" i="1" a="1"/>
  <c r="G1430" i="1" s="1"/>
  <c r="K1429" i="1" a="1"/>
  <c r="K1429" i="1" s="1"/>
  <c r="H1429" i="1" a="1"/>
  <c r="H1429" i="1" s="1"/>
  <c r="G1416" i="1" a="1"/>
  <c r="G1416" i="1" s="1"/>
  <c r="J1416" i="1" a="1"/>
  <c r="J1416" i="1" s="1"/>
  <c r="I1416" i="1" a="1"/>
  <c r="I1416" i="1" s="1"/>
  <c r="K1407" i="1" a="1"/>
  <c r="K1407" i="1" s="1"/>
  <c r="F1414" i="1" a="1"/>
  <c r="F1414" i="1" s="1"/>
  <c r="H1416" i="1" a="1"/>
  <c r="H1416" i="1" s="1"/>
  <c r="I1408" i="1" a="1"/>
  <c r="I1408" i="1" s="1"/>
  <c r="F1416" i="1" a="1"/>
  <c r="F1416" i="1" s="1"/>
  <c r="K1415" i="1" a="1"/>
  <c r="K1415" i="1" s="1"/>
  <c r="J1415" i="1" a="1"/>
  <c r="J1415" i="1" s="1"/>
  <c r="H1415" i="1" a="1"/>
  <c r="H1415" i="1" s="1"/>
  <c r="F1415" i="1" a="1"/>
  <c r="F1415" i="1" s="1"/>
  <c r="H1407" i="1" a="1"/>
  <c r="H1407" i="1" s="1"/>
  <c r="H1414" i="1" a="1"/>
  <c r="H1414" i="1" s="1"/>
  <c r="F1407" i="1" a="1"/>
  <c r="F1407" i="1" s="1"/>
  <c r="K1406" i="1" a="1"/>
  <c r="K1406" i="1" s="1"/>
  <c r="H1408" i="1" a="1"/>
  <c r="H1408" i="1" s="1"/>
  <c r="F1408" i="1" a="1"/>
  <c r="F1408" i="1" s="1"/>
  <c r="J1407" i="1" a="1"/>
  <c r="J1407" i="1" s="1"/>
  <c r="G1407" i="1" a="1"/>
  <c r="G1407" i="1" s="1"/>
  <c r="G1415" i="1" a="1"/>
  <c r="G1415" i="1" s="1"/>
  <c r="J1414" i="1" a="1"/>
  <c r="J1414" i="1" s="1"/>
  <c r="I1414" i="1" a="1"/>
  <c r="I1414" i="1" s="1"/>
  <c r="I1419" i="1" a="1"/>
  <c r="I1419" i="1" s="1"/>
  <c r="F1419" i="1" a="1"/>
  <c r="F1419" i="1" s="1"/>
  <c r="J1408" i="1" a="1"/>
  <c r="J1408" i="1" s="1"/>
  <c r="I1418" i="1" a="1"/>
  <c r="I1418" i="1" s="1"/>
  <c r="G1419" i="1" a="1"/>
  <c r="G1419" i="1" s="1"/>
  <c r="I1415" i="1" a="1"/>
  <c r="I1415" i="1" s="1"/>
  <c r="F1418" i="1" a="1"/>
  <c r="F1418" i="1" s="1"/>
  <c r="K1414" i="1" a="1"/>
  <c r="K1414" i="1" s="1"/>
  <c r="J1417" i="1" a="1"/>
  <c r="J1417" i="1" s="1"/>
  <c r="K1417" i="1" a="1"/>
  <c r="K1417" i="1" s="1"/>
  <c r="I1407" i="1" a="1"/>
  <c r="I1407" i="1" s="1"/>
  <c r="H1419" i="1" a="1"/>
  <c r="H1419" i="1" s="1"/>
  <c r="K1418" i="1" a="1"/>
  <c r="K1418" i="1" s="1"/>
  <c r="J1418" i="1" a="1"/>
  <c r="J1418" i="1" s="1"/>
  <c r="H1418" i="1" a="1"/>
  <c r="H1418" i="1" s="1"/>
  <c r="G1414" i="1" a="1"/>
  <c r="G1414" i="1" s="1"/>
  <c r="G1408" i="1" a="1"/>
  <c r="G1408" i="1" s="1"/>
  <c r="G1418" i="1" a="1"/>
  <c r="G1418" i="1" s="1"/>
  <c r="I1417" i="1" a="1"/>
  <c r="I1417" i="1" s="1"/>
  <c r="H1417" i="1" a="1"/>
  <c r="H1417" i="1" s="1"/>
  <c r="G1417" i="1" a="1"/>
  <c r="G1417" i="1" s="1"/>
  <c r="F1417" i="1" a="1"/>
  <c r="F1417" i="1" s="1"/>
  <c r="K1416" i="1" a="1"/>
  <c r="K1416" i="1" s="1"/>
  <c r="K1408" i="1" a="1"/>
  <c r="K1408" i="1" s="1"/>
  <c r="F1406" i="1" a="1"/>
  <c r="F1406" i="1" s="1"/>
  <c r="I1400" i="1" a="1"/>
  <c r="I1400" i="1" s="1"/>
  <c r="K1405" i="1" a="1"/>
  <c r="K1405" i="1" s="1"/>
  <c r="I1405" i="1" a="1"/>
  <c r="I1405" i="1" s="1"/>
  <c r="H1405" i="1" a="1"/>
  <c r="H1405" i="1" s="1"/>
  <c r="J1403" i="1" a="1"/>
  <c r="J1403" i="1" s="1"/>
  <c r="F1402" i="1" a="1"/>
  <c r="F1402" i="1" s="1"/>
  <c r="K1401" i="1" a="1"/>
  <c r="K1401" i="1" s="1"/>
  <c r="K1400" i="1" a="1"/>
  <c r="K1400" i="1" s="1"/>
  <c r="I1399" i="1" a="1"/>
  <c r="I1399" i="1" s="1"/>
  <c r="G1405" i="1" a="1"/>
  <c r="G1405" i="1" s="1"/>
  <c r="F1399" i="1" a="1"/>
  <c r="F1399" i="1" s="1"/>
  <c r="F1405" i="1" a="1"/>
  <c r="F1405" i="1" s="1"/>
  <c r="J1402" i="1" a="1"/>
  <c r="J1402" i="1" s="1"/>
  <c r="J1400" i="1" a="1"/>
  <c r="J1400" i="1" s="1"/>
  <c r="I1403" i="1" a="1"/>
  <c r="I1403" i="1" s="1"/>
  <c r="H1403" i="1" a="1"/>
  <c r="H1403" i="1" s="1"/>
  <c r="G1401" i="1" a="1"/>
  <c r="G1401" i="1" s="1"/>
  <c r="H1399" i="1" a="1"/>
  <c r="H1399" i="1" s="1"/>
  <c r="K1402" i="1" a="1"/>
  <c r="K1402" i="1" s="1"/>
  <c r="H1400" i="1" a="1"/>
  <c r="H1400" i="1" s="1"/>
  <c r="J1401" i="1" a="1"/>
  <c r="J1401" i="1" s="1"/>
  <c r="J1399" i="1" a="1"/>
  <c r="J1399" i="1" s="1"/>
  <c r="J1405" i="1" a="1"/>
  <c r="J1405" i="1" s="1"/>
  <c r="F1401" i="1" a="1"/>
  <c r="F1401" i="1" s="1"/>
  <c r="G1400" i="1" a="1"/>
  <c r="G1400" i="1" s="1"/>
  <c r="I1402" i="1" a="1"/>
  <c r="I1402" i="1" s="1"/>
  <c r="K1399" i="1" a="1"/>
  <c r="K1399" i="1" s="1"/>
  <c r="J1406" i="1" a="1"/>
  <c r="J1406" i="1" s="1"/>
  <c r="G1399" i="1" a="1"/>
  <c r="G1399" i="1" s="1"/>
  <c r="I1406" i="1" a="1"/>
  <c r="I1406" i="1" s="1"/>
  <c r="G1406" i="1" a="1"/>
  <c r="G1406" i="1" s="1"/>
  <c r="G1403" i="1" a="1"/>
  <c r="G1403" i="1" s="1"/>
  <c r="F1403" i="1" a="1"/>
  <c r="F1403" i="1" s="1"/>
  <c r="H1402" i="1" a="1"/>
  <c r="H1402" i="1" s="1"/>
  <c r="I1401" i="1" a="1"/>
  <c r="I1401" i="1" s="1"/>
  <c r="H1401" i="1" a="1"/>
  <c r="H1401" i="1" s="1"/>
  <c r="G1402" i="1" a="1"/>
  <c r="G1402" i="1" s="1"/>
  <c r="H1406" i="1" a="1"/>
  <c r="H1406" i="1" s="1"/>
  <c r="K1403" i="1" a="1"/>
  <c r="K1403" i="1" s="1"/>
  <c r="F1400" i="1" a="1"/>
  <c r="F1400" i="1" s="1"/>
  <c r="I1370" i="1" a="1"/>
  <c r="I1370" i="1" s="1"/>
  <c r="G1369" i="1" a="1"/>
  <c r="G1369" i="1" s="1"/>
  <c r="I1369" i="1" a="1"/>
  <c r="I1369" i="1" s="1"/>
  <c r="I1367" i="1" a="1"/>
  <c r="I1367" i="1" s="1"/>
  <c r="F1371" i="1" a="1"/>
  <c r="F1371" i="1" s="1"/>
  <c r="I1371" i="1" a="1"/>
  <c r="I1371" i="1" s="1"/>
  <c r="H1369" i="1" a="1"/>
  <c r="H1369" i="1" s="1"/>
  <c r="F1370" i="1" a="1"/>
  <c r="F1370" i="1" s="1"/>
  <c r="G1368" i="1" a="1"/>
  <c r="G1368" i="1" s="1"/>
  <c r="G1366" i="1" a="1"/>
  <c r="G1366" i="1" s="1"/>
  <c r="K1372" i="1" a="1"/>
  <c r="K1372" i="1" s="1"/>
  <c r="I1368" i="1" a="1"/>
  <c r="I1368" i="1" s="1"/>
  <c r="J1372" i="1" a="1"/>
  <c r="J1372" i="1" s="1"/>
  <c r="F1372" i="1" a="1"/>
  <c r="F1372" i="1" s="1"/>
  <c r="G1367" i="1" a="1"/>
  <c r="G1367" i="1" s="1"/>
  <c r="I1365" i="1" a="1"/>
  <c r="I1365" i="1" s="1"/>
  <c r="H1370" i="1" a="1"/>
  <c r="H1370" i="1" s="1"/>
  <c r="J1365" i="1" a="1"/>
  <c r="J1365" i="1" s="1"/>
  <c r="K1367" i="1" a="1"/>
  <c r="K1367" i="1" s="1"/>
  <c r="J1370" i="1" a="1"/>
  <c r="J1370" i="1" s="1"/>
  <c r="J1369" i="1" a="1"/>
  <c r="J1369" i="1" s="1"/>
  <c r="H1372" i="1" a="1"/>
  <c r="H1372" i="1" s="1"/>
  <c r="J1371" i="1" a="1"/>
  <c r="J1371" i="1" s="1"/>
  <c r="F1367" i="1" a="1"/>
  <c r="F1367" i="1" s="1"/>
  <c r="G1372" i="1" a="1"/>
  <c r="G1372" i="1" s="1"/>
  <c r="H1368" i="1" a="1"/>
  <c r="H1368" i="1" s="1"/>
  <c r="K1371" i="1" a="1"/>
  <c r="K1371" i="1" s="1"/>
  <c r="J1366" i="1" a="1"/>
  <c r="J1366" i="1" s="1"/>
  <c r="F1368" i="1" a="1"/>
  <c r="F1368" i="1" s="1"/>
  <c r="I1372" i="1" a="1"/>
  <c r="I1372" i="1" s="1"/>
  <c r="K1370" i="1" a="1"/>
  <c r="K1370" i="1" s="1"/>
  <c r="G1370" i="1" a="1"/>
  <c r="G1370" i="1" s="1"/>
  <c r="K1368" i="1" a="1"/>
  <c r="K1368" i="1" s="1"/>
  <c r="H1367" i="1" a="1"/>
  <c r="H1367" i="1" s="1"/>
  <c r="F1366" i="1" a="1"/>
  <c r="F1366" i="1" s="1"/>
  <c r="J1367" i="1" a="1"/>
  <c r="J1367" i="1" s="1"/>
  <c r="I1366" i="1" a="1"/>
  <c r="I1366" i="1" s="1"/>
  <c r="J1368" i="1" a="1"/>
  <c r="J1368" i="1" s="1"/>
  <c r="G1371" i="1" a="1"/>
  <c r="G1371" i="1" s="1"/>
  <c r="K1369" i="1" a="1"/>
  <c r="K1369" i="1" s="1"/>
  <c r="K1365" i="1" a="1"/>
  <c r="K1365" i="1" s="1"/>
  <c r="H1366" i="1" a="1"/>
  <c r="H1366" i="1" s="1"/>
  <c r="F1369" i="1" a="1"/>
  <c r="F1369" i="1" s="1"/>
  <c r="K1366" i="1" a="1"/>
  <c r="K1366" i="1" s="1"/>
  <c r="H1371" i="1" a="1"/>
  <c r="H1371" i="1" s="1"/>
  <c r="F1362" i="1" a="1"/>
  <c r="F1362" i="1" s="1"/>
  <c r="H1361" i="1" a="1"/>
  <c r="H1361" i="1" s="1"/>
  <c r="K1359" i="1" a="1"/>
  <c r="K1359" i="1" s="1"/>
  <c r="G1360" i="1" a="1"/>
  <c r="G1360" i="1" s="1"/>
  <c r="K1361" i="1" a="1"/>
  <c r="K1361" i="1" s="1"/>
  <c r="J1361" i="1" a="1"/>
  <c r="J1361" i="1" s="1"/>
  <c r="K1358" i="1" a="1"/>
  <c r="K1358" i="1" s="1"/>
  <c r="J1358" i="1" a="1"/>
  <c r="J1358" i="1" s="1"/>
  <c r="H1358" i="1" a="1"/>
  <c r="H1358" i="1" s="1"/>
  <c r="G1355" i="1" a="1"/>
  <c r="G1355" i="1" s="1"/>
  <c r="K1356" i="1" a="1"/>
  <c r="K1356" i="1" s="1"/>
  <c r="I1356" i="1" a="1"/>
  <c r="I1356" i="1" s="1"/>
  <c r="F1356" i="1" a="1"/>
  <c r="F1356" i="1" s="1"/>
  <c r="J1355" i="1" a="1"/>
  <c r="J1355" i="1" s="1"/>
  <c r="F1359" i="1" a="1"/>
  <c r="F1359" i="1" s="1"/>
  <c r="G1358" i="1" a="1"/>
  <c r="G1358" i="1" s="1"/>
  <c r="H1355" i="1" a="1"/>
  <c r="H1355" i="1" s="1"/>
  <c r="K1360" i="1" a="1"/>
  <c r="K1360" i="1" s="1"/>
  <c r="I1357" i="1" a="1"/>
  <c r="I1357" i="1" s="1"/>
  <c r="F1357" i="1" a="1"/>
  <c r="F1357" i="1" s="1"/>
  <c r="H1356" i="1" a="1"/>
  <c r="H1356" i="1" s="1"/>
  <c r="I1361" i="1" a="1"/>
  <c r="I1361" i="1" s="1"/>
  <c r="I1355" i="1" a="1"/>
  <c r="I1355" i="1" s="1"/>
  <c r="G1361" i="1" a="1"/>
  <c r="G1361" i="1" s="1"/>
  <c r="I1360" i="1" a="1"/>
  <c r="I1360" i="1" s="1"/>
  <c r="F1360" i="1" a="1"/>
  <c r="F1360" i="1" s="1"/>
  <c r="G1359" i="1" a="1"/>
  <c r="G1359" i="1" s="1"/>
  <c r="F1361" i="1" a="1"/>
  <c r="F1361" i="1" s="1"/>
  <c r="J1356" i="1" a="1"/>
  <c r="J1356" i="1" s="1"/>
  <c r="G1356" i="1" a="1"/>
  <c r="G1356" i="1" s="1"/>
  <c r="K1354" i="1" a="1"/>
  <c r="K1354" i="1" s="1"/>
  <c r="J1359" i="1" a="1"/>
  <c r="J1359" i="1" s="1"/>
  <c r="K1355" i="1" a="1"/>
  <c r="K1355" i="1" s="1"/>
  <c r="F1358" i="1" a="1"/>
  <c r="F1358" i="1" s="1"/>
  <c r="I1358" i="1" a="1"/>
  <c r="I1358" i="1" s="1"/>
  <c r="H1365" i="1" a="1"/>
  <c r="H1365" i="1" s="1"/>
  <c r="G1363" i="1" a="1"/>
  <c r="G1363" i="1" s="1"/>
  <c r="F1355" i="1" a="1"/>
  <c r="F1355" i="1" s="1"/>
  <c r="I1363" i="1" a="1"/>
  <c r="I1363" i="1" s="1"/>
  <c r="G1365" i="1" a="1"/>
  <c r="G1365" i="1" s="1"/>
  <c r="K1362" i="1" a="1"/>
  <c r="K1362" i="1" s="1"/>
  <c r="H1357" i="1" a="1"/>
  <c r="H1357" i="1" s="1"/>
  <c r="I1359" i="1" a="1"/>
  <c r="I1359" i="1" s="1"/>
  <c r="J1360" i="1" a="1"/>
  <c r="J1360" i="1" s="1"/>
  <c r="F1365" i="1" a="1"/>
  <c r="F1365" i="1" s="1"/>
  <c r="K1364" i="1" a="1"/>
  <c r="K1364" i="1" s="1"/>
  <c r="J1364" i="1" a="1"/>
  <c r="J1364" i="1" s="1"/>
  <c r="I1364" i="1" a="1"/>
  <c r="I1364" i="1" s="1"/>
  <c r="H1360" i="1" a="1"/>
  <c r="H1360" i="1" s="1"/>
  <c r="H1364" i="1" a="1"/>
  <c r="H1364" i="1" s="1"/>
  <c r="G1364" i="1" a="1"/>
  <c r="G1364" i="1" s="1"/>
  <c r="F1364" i="1" a="1"/>
  <c r="F1364" i="1" s="1"/>
  <c r="G1357" i="1" a="1"/>
  <c r="G1357" i="1" s="1"/>
  <c r="K1363" i="1" a="1"/>
  <c r="K1363" i="1" s="1"/>
  <c r="J1363" i="1" a="1"/>
  <c r="J1363" i="1" s="1"/>
  <c r="H1363" i="1" a="1"/>
  <c r="H1363" i="1" s="1"/>
  <c r="F1363" i="1" a="1"/>
  <c r="F1363" i="1" s="1"/>
  <c r="J1362" i="1" a="1"/>
  <c r="J1362" i="1" s="1"/>
  <c r="J1357" i="1" a="1"/>
  <c r="J1357" i="1" s="1"/>
  <c r="I1362" i="1" a="1"/>
  <c r="I1362" i="1" s="1"/>
  <c r="H1362" i="1" a="1"/>
  <c r="H1362" i="1" s="1"/>
  <c r="G1362" i="1" a="1"/>
  <c r="G1362" i="1" s="1"/>
  <c r="K1357" i="1" a="1"/>
  <c r="K1357" i="1" s="1"/>
  <c r="H1359" i="1" a="1"/>
  <c r="H1359" i="1" s="1"/>
  <c r="J1345" i="1" a="1"/>
  <c r="J1345" i="1" s="1"/>
  <c r="J1350" i="1" a="1"/>
  <c r="J1350" i="1" s="1"/>
  <c r="J1348" i="1" a="1"/>
  <c r="J1348" i="1" s="1"/>
  <c r="G1346" i="1" a="1"/>
  <c r="G1346" i="1" s="1"/>
  <c r="J1347" i="1" a="1"/>
  <c r="J1347" i="1" s="1"/>
  <c r="F1345" i="1" a="1"/>
  <c r="F1345" i="1" s="1"/>
  <c r="H1353" i="1" a="1"/>
  <c r="H1353" i="1" s="1"/>
  <c r="F1346" i="1" a="1"/>
  <c r="F1346" i="1" s="1"/>
  <c r="G1347" i="1" a="1"/>
  <c r="G1347" i="1" s="1"/>
  <c r="H1346" i="1" a="1"/>
  <c r="H1346" i="1" s="1"/>
  <c r="H1348" i="1" a="1"/>
  <c r="H1348" i="1" s="1"/>
  <c r="F1348" i="1" a="1"/>
  <c r="F1348" i="1" s="1"/>
  <c r="F1353" i="1" a="1"/>
  <c r="F1353" i="1" s="1"/>
  <c r="J1352" i="1" a="1"/>
  <c r="J1352" i="1" s="1"/>
  <c r="G1352" i="1" a="1"/>
  <c r="G1352" i="1" s="1"/>
  <c r="I1352" i="1" a="1"/>
  <c r="I1352" i="1" s="1"/>
  <c r="K1351" i="1" a="1"/>
  <c r="K1351" i="1" s="1"/>
  <c r="H1351" i="1" a="1"/>
  <c r="H1351" i="1" s="1"/>
  <c r="J1344" i="1" a="1"/>
  <c r="J1344" i="1" s="1"/>
  <c r="F1350" i="1" a="1"/>
  <c r="F1350" i="1" s="1"/>
  <c r="K1347" i="1" a="1"/>
  <c r="K1347" i="1" s="1"/>
  <c r="I1350" i="1" a="1"/>
  <c r="I1350" i="1" s="1"/>
  <c r="G1344" i="1" a="1"/>
  <c r="G1344" i="1" s="1"/>
  <c r="I1348" i="1" a="1"/>
  <c r="I1348" i="1" s="1"/>
  <c r="H1347" i="1" a="1"/>
  <c r="H1347" i="1" s="1"/>
  <c r="F1347" i="1" a="1"/>
  <c r="F1347" i="1" s="1"/>
  <c r="H1344" i="1" a="1"/>
  <c r="H1344" i="1" s="1"/>
  <c r="G1345" i="1" a="1"/>
  <c r="G1345" i="1" s="1"/>
  <c r="K1346" i="1" a="1"/>
  <c r="K1346" i="1" s="1"/>
  <c r="G1353" i="1" a="1"/>
  <c r="G1353" i="1" s="1"/>
  <c r="H1352" i="1" a="1"/>
  <c r="H1352" i="1" s="1"/>
  <c r="F1352" i="1" a="1"/>
  <c r="F1352" i="1" s="1"/>
  <c r="K1350" i="1" a="1"/>
  <c r="K1350" i="1" s="1"/>
  <c r="I1345" i="1" a="1"/>
  <c r="I1345" i="1" s="1"/>
  <c r="K1348" i="1" a="1"/>
  <c r="K1348" i="1" s="1"/>
  <c r="F1344" i="1" a="1"/>
  <c r="F1344" i="1" s="1"/>
  <c r="G1351" i="1" a="1"/>
  <c r="G1351" i="1" s="1"/>
  <c r="J1346" i="1" a="1"/>
  <c r="J1346" i="1" s="1"/>
  <c r="K1352" i="1" a="1"/>
  <c r="K1352" i="1" s="1"/>
  <c r="G1350" i="1" a="1"/>
  <c r="G1350" i="1" s="1"/>
  <c r="G1348" i="1" a="1"/>
  <c r="G1348" i="1" s="1"/>
  <c r="J1354" i="1" a="1"/>
  <c r="J1354" i="1" s="1"/>
  <c r="J1351" i="1" a="1"/>
  <c r="J1351" i="1" s="1"/>
  <c r="I1344" i="1" a="1"/>
  <c r="I1344" i="1" s="1"/>
  <c r="H1350" i="1" a="1"/>
  <c r="H1350" i="1" s="1"/>
  <c r="I1347" i="1" a="1"/>
  <c r="I1347" i="1" s="1"/>
  <c r="I1354" i="1" a="1"/>
  <c r="I1354" i="1" s="1"/>
  <c r="K1344" i="1" a="1"/>
  <c r="K1344" i="1" s="1"/>
  <c r="H1354" i="1" a="1"/>
  <c r="H1354" i="1" s="1"/>
  <c r="G1354" i="1" a="1"/>
  <c r="G1354" i="1" s="1"/>
  <c r="H1345" i="1" a="1"/>
  <c r="H1345" i="1" s="1"/>
  <c r="F1351" i="1" a="1"/>
  <c r="F1351" i="1" s="1"/>
  <c r="I1346" i="1" a="1"/>
  <c r="I1346" i="1" s="1"/>
  <c r="F1354" i="1" a="1"/>
  <c r="F1354" i="1" s="1"/>
  <c r="K1353" i="1" a="1"/>
  <c r="K1353" i="1" s="1"/>
  <c r="J1353" i="1" a="1"/>
  <c r="J1353" i="1" s="1"/>
  <c r="I1353" i="1" a="1"/>
  <c r="I1353" i="1" s="1"/>
  <c r="I1351" i="1" a="1"/>
  <c r="I1351" i="1" s="1"/>
  <c r="K1345" i="1" a="1"/>
  <c r="K1345" i="1" s="1"/>
  <c r="F1336" i="1" a="1"/>
  <c r="F1336" i="1" s="1"/>
  <c r="J1335" i="1" a="1"/>
  <c r="J1335" i="1" s="1"/>
  <c r="G1332" i="1" a="1"/>
  <c r="G1332" i="1" s="1"/>
  <c r="G1337" i="1" a="1"/>
  <c r="G1337" i="1" s="1"/>
  <c r="F1337" i="1" a="1"/>
  <c r="F1337" i="1" s="1"/>
  <c r="F1335" i="1" a="1"/>
  <c r="F1335" i="1" s="1"/>
  <c r="I1334" i="1" a="1"/>
  <c r="I1334" i="1" s="1"/>
  <c r="H1332" i="1" a="1"/>
  <c r="H1332" i="1" s="1"/>
  <c r="H1333" i="1" a="1"/>
  <c r="H1333" i="1" s="1"/>
  <c r="H1331" i="1" a="1"/>
  <c r="H1331" i="1" s="1"/>
  <c r="H1338" i="1" a="1"/>
  <c r="H1338" i="1" s="1"/>
  <c r="K1333" i="1" a="1"/>
  <c r="K1333" i="1" s="1"/>
  <c r="F1332" i="1" a="1"/>
  <c r="F1332" i="1" s="1"/>
  <c r="I1333" i="1" a="1"/>
  <c r="I1333" i="1" s="1"/>
  <c r="H1330" i="1" a="1"/>
  <c r="H1330" i="1" s="1"/>
  <c r="J1333" i="1" a="1"/>
  <c r="J1333" i="1" s="1"/>
  <c r="K1332" i="1" a="1"/>
  <c r="K1332" i="1" s="1"/>
  <c r="K1335" i="1" a="1"/>
  <c r="K1335" i="1" s="1"/>
  <c r="K1337" i="1" a="1"/>
  <c r="K1337" i="1" s="1"/>
  <c r="H1337" i="1" a="1"/>
  <c r="H1337" i="1" s="1"/>
  <c r="F1333" i="1" a="1"/>
  <c r="F1333" i="1" s="1"/>
  <c r="J1338" i="1" a="1"/>
  <c r="J1338" i="1" s="1"/>
  <c r="K1331" i="1" a="1"/>
  <c r="K1331" i="1" s="1"/>
  <c r="J1330" i="1" a="1"/>
  <c r="J1330" i="1" s="1"/>
  <c r="K1338" i="1" a="1"/>
  <c r="K1338" i="1" s="1"/>
  <c r="J1337" i="1" a="1"/>
  <c r="J1337" i="1" s="1"/>
  <c r="I1335" i="1" a="1"/>
  <c r="I1335" i="1" s="1"/>
  <c r="I1336" i="1" a="1"/>
  <c r="I1336" i="1" s="1"/>
  <c r="I1330" i="1" a="1"/>
  <c r="I1330" i="1" s="1"/>
  <c r="G1333" i="1" a="1"/>
  <c r="G1333" i="1"/>
  <c r="G1334" i="1" a="1"/>
  <c r="G1334" i="1" s="1"/>
  <c r="K1334" i="1" a="1"/>
  <c r="K1334" i="1"/>
  <c r="J1331" i="1" a="1"/>
  <c r="J1331" i="1"/>
  <c r="H1335" i="1" a="1"/>
  <c r="H1335" i="1" s="1"/>
  <c r="I1338" i="1" a="1"/>
  <c r="I1338" i="1" s="1"/>
  <c r="G1338" i="1" a="1"/>
  <c r="G1338" i="1" s="1"/>
  <c r="J1332" i="1" a="1"/>
  <c r="J1332" i="1" s="1"/>
  <c r="F1338" i="1" a="1"/>
  <c r="F1338" i="1"/>
  <c r="I1337" i="1" a="1"/>
  <c r="I1337" i="1" s="1"/>
  <c r="K1336" i="1" a="1"/>
  <c r="K1336" i="1"/>
  <c r="J1334" i="1" a="1"/>
  <c r="J1334" i="1" s="1"/>
  <c r="H1336" i="1" a="1"/>
  <c r="H1336" i="1" s="1"/>
  <c r="F1334" i="1" a="1"/>
  <c r="F1334" i="1" s="1"/>
  <c r="F1331" i="1" a="1"/>
  <c r="F1331" i="1"/>
  <c r="G1331" i="1" a="1"/>
  <c r="G1331" i="1" s="1"/>
  <c r="I1331" i="1" a="1"/>
  <c r="I1331" i="1" s="1"/>
  <c r="K1330" i="1" a="1"/>
  <c r="K1330" i="1" s="1"/>
  <c r="J1336" i="1" a="1"/>
  <c r="J1336" i="1" s="1"/>
  <c r="H1334" i="1" a="1"/>
  <c r="H1334" i="1" s="1"/>
  <c r="I1332" i="1" a="1"/>
  <c r="I1332" i="1" s="1"/>
  <c r="G1336" i="1" a="1"/>
  <c r="G1336" i="1"/>
  <c r="G1335" i="1" a="1"/>
  <c r="G1335" i="1" s="1"/>
  <c r="I1324" i="1" a="1"/>
  <c r="I1324" i="1"/>
  <c r="I1318" i="1" a="1"/>
  <c r="I1318" i="1"/>
  <c r="F1317" i="1" a="1"/>
  <c r="F1317" i="1" s="1"/>
  <c r="K1321" i="1" a="1"/>
  <c r="K1321" i="1" s="1"/>
  <c r="G1323" i="1" a="1"/>
  <c r="G1323" i="1"/>
  <c r="I1319" i="1" a="1"/>
  <c r="I1319" i="1" s="1"/>
  <c r="F1319" i="1" a="1"/>
  <c r="F1319" i="1"/>
  <c r="K1316" i="1" a="1"/>
  <c r="K1316" i="1" s="1"/>
  <c r="H1323" i="1" a="1"/>
  <c r="H1323" i="1"/>
  <c r="G1322" i="1" a="1"/>
  <c r="G1322" i="1" s="1"/>
  <c r="I1316" i="1" a="1"/>
  <c r="I1316" i="1" s="1"/>
  <c r="J1324" i="1" a="1"/>
  <c r="J1324" i="1" s="1"/>
  <c r="I1322" i="1" a="1"/>
  <c r="I1322" i="1"/>
  <c r="F1318" i="1" a="1"/>
  <c r="F1318" i="1" s="1"/>
  <c r="J1317" i="1" a="1"/>
  <c r="J1317" i="1" s="1"/>
  <c r="K1322" i="1" a="1"/>
  <c r="K1322" i="1" s="1"/>
  <c r="G1321" i="1" a="1"/>
  <c r="G1321" i="1" s="1"/>
  <c r="G1317" i="1" a="1"/>
  <c r="G1317" i="1" s="1"/>
  <c r="F1316" i="1" a="1"/>
  <c r="F1316" i="1" s="1"/>
  <c r="J1319" i="1" a="1"/>
  <c r="J1319" i="1"/>
  <c r="G1319" i="1" a="1"/>
  <c r="G1319" i="1" s="1"/>
  <c r="J1318" i="1" a="1"/>
  <c r="J1318" i="1"/>
  <c r="H1317" i="1" a="1"/>
  <c r="H1317" i="1"/>
  <c r="G1316" i="1" a="1"/>
  <c r="G1316" i="1" s="1"/>
  <c r="F1321" i="1" a="1"/>
  <c r="F1321" i="1" s="1"/>
  <c r="I1321" i="1" a="1"/>
  <c r="I1321" i="1"/>
  <c r="H1322" i="1" a="1"/>
  <c r="H1322" i="1" s="1"/>
  <c r="J1316" i="1" a="1"/>
  <c r="J1316" i="1"/>
  <c r="I1323" i="1" a="1"/>
  <c r="I1323" i="1" s="1"/>
  <c r="K1319" i="1" a="1"/>
  <c r="K1319" i="1"/>
  <c r="F1322" i="1" a="1"/>
  <c r="F1322" i="1" s="1"/>
  <c r="H1316" i="1" a="1"/>
  <c r="H1316" i="1" s="1"/>
  <c r="F1324" i="1" a="1"/>
  <c r="F1324" i="1" s="1"/>
  <c r="J1321" i="1" a="1"/>
  <c r="J1321" i="1" s="1"/>
  <c r="K1317" i="1" a="1"/>
  <c r="K1317" i="1" s="1"/>
  <c r="H1321" i="1" a="1"/>
  <c r="H1321" i="1" s="1"/>
  <c r="H1319" i="1" a="1"/>
  <c r="H1319" i="1" s="1"/>
  <c r="I1317" i="1" a="1"/>
  <c r="I1317" i="1" s="1"/>
  <c r="J1323" i="1" a="1"/>
  <c r="J1323" i="1" s="1"/>
  <c r="K1324" i="1" a="1"/>
  <c r="K1324" i="1" s="1"/>
  <c r="K1318" i="1" a="1"/>
  <c r="K1318" i="1"/>
  <c r="G1330" i="1" a="1"/>
  <c r="G1330" i="1" s="1"/>
  <c r="K1323" i="1" a="1"/>
  <c r="K1323" i="1"/>
  <c r="F1330" i="1" a="1"/>
  <c r="F1330" i="1" s="1"/>
  <c r="F1323" i="1" a="1"/>
  <c r="F1323" i="1"/>
  <c r="G1324" i="1" a="1"/>
  <c r="G1324" i="1" s="1"/>
  <c r="J1322" i="1" a="1"/>
  <c r="J1322" i="1"/>
  <c r="G1318" i="1" a="1"/>
  <c r="G1318" i="1" s="1"/>
  <c r="H1324" i="1" a="1"/>
  <c r="H1324" i="1"/>
  <c r="H1318" i="1" a="1"/>
  <c r="H1318" i="1" s="1"/>
  <c r="G1258" i="1" a="1"/>
  <c r="G1258" i="1"/>
  <c r="G1261" i="1" a="1"/>
  <c r="G1261" i="1" s="1"/>
  <c r="F1261" i="1" a="1"/>
  <c r="F1261" i="1" s="1"/>
  <c r="G1257" i="1" a="1"/>
  <c r="G1257" i="1" s="1"/>
  <c r="J1260" i="1" a="1"/>
  <c r="J1260" i="1"/>
  <c r="I1256" i="1" a="1"/>
  <c r="I1256" i="1" s="1"/>
  <c r="F1256" i="1" a="1"/>
  <c r="F1256" i="1" s="1"/>
  <c r="H1259" i="1" a="1"/>
  <c r="H1259" i="1" s="1"/>
  <c r="K1255" i="1" a="1"/>
  <c r="K1255" i="1" s="1"/>
  <c r="H1260" i="1" a="1"/>
  <c r="H1260" i="1" s="1"/>
  <c r="K1258" i="1" a="1"/>
  <c r="K1258" i="1" s="1"/>
  <c r="K1261" i="1" a="1"/>
  <c r="K1261" i="1"/>
  <c r="K1257" i="1" a="1"/>
  <c r="K1257" i="1" s="1"/>
  <c r="J1259" i="1" a="1"/>
  <c r="J1259" i="1" s="1"/>
  <c r="J1261" i="1" a="1"/>
  <c r="J1261" i="1" s="1"/>
  <c r="F1260" i="1" a="1"/>
  <c r="F1260" i="1"/>
  <c r="J1256" i="1" a="1"/>
  <c r="J1256" i="1" s="1"/>
  <c r="G1256" i="1" a="1"/>
  <c r="G1256" i="1"/>
  <c r="H1258" i="1" a="1"/>
  <c r="H1258" i="1" s="1"/>
  <c r="G1259" i="1" a="1"/>
  <c r="G1259" i="1"/>
  <c r="I1260" i="1" a="1"/>
  <c r="I1260" i="1" s="1"/>
  <c r="F1258" i="1" a="1"/>
  <c r="F1258" i="1"/>
  <c r="H1257" i="1" a="1"/>
  <c r="H1257" i="1" s="1"/>
  <c r="I1258" i="1" a="1"/>
  <c r="I1258" i="1" s="1"/>
  <c r="K1256" i="1" a="1"/>
  <c r="K1256" i="1"/>
  <c r="I1261" i="1" a="1"/>
  <c r="I1261" i="1"/>
  <c r="G1260" i="1" a="1"/>
  <c r="G1260" i="1" s="1"/>
  <c r="I1259" i="1" a="1"/>
  <c r="I1259" i="1" s="1"/>
  <c r="H1261" i="1" a="1"/>
  <c r="H1261" i="1" s="1"/>
  <c r="J1258" i="1" a="1"/>
  <c r="J1258" i="1" s="1"/>
  <c r="J1257" i="1" a="1"/>
  <c r="J1257" i="1" s="1"/>
  <c r="H1256" i="1" a="1"/>
  <c r="H1256" i="1" s="1"/>
  <c r="F1259" i="1" a="1"/>
  <c r="F1259" i="1"/>
  <c r="K1315" i="1" a="1"/>
  <c r="K1315" i="1" s="1"/>
  <c r="J1315" i="1" a="1"/>
  <c r="J1315" i="1" s="1"/>
  <c r="I1315" i="1" a="1"/>
  <c r="I1315" i="1" s="1"/>
  <c r="H1315" i="1" a="1"/>
  <c r="H1315" i="1"/>
  <c r="G1315" i="1" a="1"/>
  <c r="G1315" i="1" s="1"/>
  <c r="K1259" i="1" a="1"/>
  <c r="K1259" i="1"/>
  <c r="F1315" i="1" a="1"/>
  <c r="F1315" i="1" s="1"/>
  <c r="K1260" i="1" a="1"/>
  <c r="K1260" i="1"/>
  <c r="F1257" i="1" a="1"/>
  <c r="F1257" i="1" s="1"/>
  <c r="I1257" i="1" a="1"/>
  <c r="I1257" i="1"/>
  <c r="H1245" i="1" a="1"/>
  <c r="H1245" i="1" s="1"/>
  <c r="I1250" i="1" a="1"/>
  <c r="I1250" i="1" s="1"/>
  <c r="I1249" i="1" a="1"/>
  <c r="I1249" i="1"/>
  <c r="G1247" i="1" a="1"/>
  <c r="G1247" i="1"/>
  <c r="I1246" i="1" a="1"/>
  <c r="I1246" i="1" s="1"/>
  <c r="H1250" i="1" a="1"/>
  <c r="H1250" i="1" s="1"/>
  <c r="K1245" i="1" a="1"/>
  <c r="K1245" i="1" s="1"/>
  <c r="H1255" i="1" a="1"/>
  <c r="H1255" i="1" s="1"/>
  <c r="H1254" i="1" a="1"/>
  <c r="H1254" i="1" s="1"/>
  <c r="J1253" i="1" a="1"/>
  <c r="J1253" i="1" s="1"/>
  <c r="J1251" i="1" a="1"/>
  <c r="J1251" i="1" s="1"/>
  <c r="F1250" i="1" a="1"/>
  <c r="F1250" i="1" s="1"/>
  <c r="H1247" i="1" a="1"/>
  <c r="H1247" i="1" s="1"/>
  <c r="I1245" i="1" a="1"/>
  <c r="I1245" i="1" s="1"/>
  <c r="K1253" i="1" a="1"/>
  <c r="K1253" i="1"/>
  <c r="F1253" i="1" a="1"/>
  <c r="F1253" i="1" s="1"/>
  <c r="F1248" i="1" a="1"/>
  <c r="F1248" i="1"/>
  <c r="F1247" i="1" a="1"/>
  <c r="F1247" i="1" s="1"/>
  <c r="J1248" i="1" a="1"/>
  <c r="J1248" i="1"/>
  <c r="H1248" i="1" a="1"/>
  <c r="H1248" i="1" s="1"/>
  <c r="J1249" i="1" a="1"/>
  <c r="J1249" i="1" s="1"/>
  <c r="F1255" i="1" a="1"/>
  <c r="F1255" i="1"/>
  <c r="H1253" i="1" a="1"/>
  <c r="H1253" i="1" s="1"/>
  <c r="F1252" i="1" a="1"/>
  <c r="F1252" i="1"/>
  <c r="F1246" i="1" a="1"/>
  <c r="F1246" i="1"/>
  <c r="H1251" i="1" a="1"/>
  <c r="H1251" i="1" s="1"/>
  <c r="J1247" i="1" a="1"/>
  <c r="J1247" i="1" s="1"/>
  <c r="J1255" i="1" a="1"/>
  <c r="J1255" i="1" s="1"/>
  <c r="G1255" i="1" a="1"/>
  <c r="G1255" i="1" s="1"/>
  <c r="G1252" i="1" a="1"/>
  <c r="G1252" i="1" s="1"/>
  <c r="G1251" i="1" a="1"/>
  <c r="G1251" i="1" s="1"/>
  <c r="G1249" i="1" a="1"/>
  <c r="G1249" i="1"/>
  <c r="K1247" i="1" a="1"/>
  <c r="K1247" i="1" s="1"/>
  <c r="H1246" i="1" a="1"/>
  <c r="H1246" i="1" s="1"/>
  <c r="I1252" i="1" a="1"/>
  <c r="I1252" i="1" s="1"/>
  <c r="G1248" i="1" a="1"/>
  <c r="G1248" i="1"/>
  <c r="J1246" i="1" a="1"/>
  <c r="J1246" i="1" s="1"/>
  <c r="F1251" i="1" a="1"/>
  <c r="F1251" i="1"/>
  <c r="G1246" i="1" a="1"/>
  <c r="G1246" i="1" s="1"/>
  <c r="G1254" i="1" a="1"/>
  <c r="G1254" i="1"/>
  <c r="K1251" i="1" a="1"/>
  <c r="K1251" i="1" s="1"/>
  <c r="I1251" i="1" a="1"/>
  <c r="I1251" i="1" s="1"/>
  <c r="I1255" i="1" a="1"/>
  <c r="I1255" i="1"/>
  <c r="I1253" i="1" a="1"/>
  <c r="I1253" i="1" s="1"/>
  <c r="K1254" i="1" a="1"/>
  <c r="K1254" i="1"/>
  <c r="J1254" i="1" a="1"/>
  <c r="J1254" i="1"/>
  <c r="I1254" i="1" a="1"/>
  <c r="I1254" i="1" s="1"/>
  <c r="F1254" i="1" a="1"/>
  <c r="F1254" i="1" s="1"/>
  <c r="I1247" i="1" a="1"/>
  <c r="I1247" i="1" s="1"/>
  <c r="G1253" i="1" a="1"/>
  <c r="G1253" i="1" s="1"/>
  <c r="H1249" i="1" a="1"/>
  <c r="H1249" i="1" s="1"/>
  <c r="K1248" i="1" a="1"/>
  <c r="K1248" i="1" s="1"/>
  <c r="K1252" i="1" a="1"/>
  <c r="K1252" i="1"/>
  <c r="J1252" i="1" a="1"/>
  <c r="J1252" i="1" s="1"/>
  <c r="H1252" i="1" a="1"/>
  <c r="H1252" i="1" s="1"/>
  <c r="G1250" i="1" a="1"/>
  <c r="G1250" i="1" s="1"/>
  <c r="J1245" i="1" a="1"/>
  <c r="J1245" i="1"/>
  <c r="K1249" i="1" a="1"/>
  <c r="K1249" i="1" s="1"/>
  <c r="I1248" i="1" a="1"/>
  <c r="I1248" i="1"/>
  <c r="K1250" i="1" a="1"/>
  <c r="K1250" i="1" s="1"/>
  <c r="J1250" i="1" a="1"/>
  <c r="J1250" i="1" s="1"/>
  <c r="F1249" i="1" a="1"/>
  <c r="F1249" i="1" s="1"/>
  <c r="K1246" i="1" a="1"/>
  <c r="K1246" i="1" s="1"/>
  <c r="G1245" i="1" a="1"/>
  <c r="G1245" i="1"/>
  <c r="K1244" i="1" a="1"/>
  <c r="K1244" i="1" s="1"/>
  <c r="K1238" i="1" a="1"/>
  <c r="K1238" i="1"/>
  <c r="J1244" i="1" a="1"/>
  <c r="J1244" i="1"/>
  <c r="G1241" i="1" a="1"/>
  <c r="G1241" i="1" s="1"/>
  <c r="I1244" i="1" a="1"/>
  <c r="I1244" i="1" s="1"/>
  <c r="H1244" i="1" a="1"/>
  <c r="H1244" i="1" s="1"/>
  <c r="K1237" i="1" a="1"/>
  <c r="K1237" i="1" s="1"/>
  <c r="F1235" i="1" a="1"/>
  <c r="F1235" i="1"/>
  <c r="K1236" i="1" a="1"/>
  <c r="K1236" i="1" s="1"/>
  <c r="K1242" i="1" a="1"/>
  <c r="K1242" i="1"/>
  <c r="G1240" i="1" a="1"/>
  <c r="G1240" i="1" s="1"/>
  <c r="J1243" i="1" a="1"/>
  <c r="J1243" i="1" s="1"/>
  <c r="F1237" i="1" a="1"/>
  <c r="F1237" i="1" s="1"/>
  <c r="G1235" i="1" a="1"/>
  <c r="G1235" i="1"/>
  <c r="J1242" i="1" a="1"/>
  <c r="J1242" i="1" s="1"/>
  <c r="K1235" i="1" a="1"/>
  <c r="K1235" i="1"/>
  <c r="I1239" i="1" a="1"/>
  <c r="I1239" i="1" s="1"/>
  <c r="H1241" i="1" a="1"/>
  <c r="H1241" i="1" s="1"/>
  <c r="K1240" i="1" a="1"/>
  <c r="K1240" i="1" s="1"/>
  <c r="J1234" i="1" a="1"/>
  <c r="J1234" i="1" s="1"/>
  <c r="I1236" i="1" a="1"/>
  <c r="I1236" i="1"/>
  <c r="G1238" i="1" a="1"/>
  <c r="G1238" i="1" s="1"/>
  <c r="G1244" i="1" a="1"/>
  <c r="G1244" i="1"/>
  <c r="F1244" i="1" a="1"/>
  <c r="F1244" i="1"/>
  <c r="H1243" i="1" a="1"/>
  <c r="H1243" i="1" s="1"/>
  <c r="G1239" i="1" a="1"/>
  <c r="G1239" i="1" s="1"/>
  <c r="H1237" i="1" a="1"/>
  <c r="H1237" i="1" s="1"/>
  <c r="F1242" i="1" a="1"/>
  <c r="F1242" i="1" s="1"/>
  <c r="H1236" i="1" a="1"/>
  <c r="H1236" i="1"/>
  <c r="K1239" i="1" a="1"/>
  <c r="K1239" i="1" s="1"/>
  <c r="J1241" i="1" a="1"/>
  <c r="J1241" i="1"/>
  <c r="K1243" i="1" a="1"/>
  <c r="K1243" i="1" s="1"/>
  <c r="I1243" i="1" a="1"/>
  <c r="I1243" i="1" s="1"/>
  <c r="G1243" i="1" a="1"/>
  <c r="G1243" i="1" s="1"/>
  <c r="F1243" i="1" a="1"/>
  <c r="F1243" i="1"/>
  <c r="K1241" i="1" a="1"/>
  <c r="K1241" i="1" s="1"/>
  <c r="I1238" i="1" a="1"/>
  <c r="I1238" i="1" s="1"/>
  <c r="H1235" i="1" a="1"/>
  <c r="H1235" i="1" s="1"/>
  <c r="I1234" i="1" a="1"/>
  <c r="I1234" i="1" s="1"/>
  <c r="I1242" i="1" a="1"/>
  <c r="I1242" i="1" s="1"/>
  <c r="I1241" i="1" a="1"/>
  <c r="I1241" i="1" s="1"/>
  <c r="J1240" i="1" a="1"/>
  <c r="J1240" i="1"/>
  <c r="G1237" i="1" a="1"/>
  <c r="G1237" i="1" s="1"/>
  <c r="H1239" i="1" a="1"/>
  <c r="H1239" i="1"/>
  <c r="F1238" i="1" a="1"/>
  <c r="F1238" i="1"/>
  <c r="F1236" i="1" a="1"/>
  <c r="F1236" i="1" s="1"/>
  <c r="G1236" i="1" a="1"/>
  <c r="G1236" i="1" s="1"/>
  <c r="I1235" i="1" a="1"/>
  <c r="I1235" i="1"/>
  <c r="H1242" i="1" a="1"/>
  <c r="H1242" i="1" s="1"/>
  <c r="G1242" i="1" a="1"/>
  <c r="G1242" i="1"/>
  <c r="H1238" i="1" a="1"/>
  <c r="H1238" i="1" s="1"/>
  <c r="J1235" i="1" a="1"/>
  <c r="J1235" i="1"/>
  <c r="J1236" i="1" a="1"/>
  <c r="J1236" i="1" s="1"/>
  <c r="I1240" i="1" a="1"/>
  <c r="I1240" i="1" s="1"/>
  <c r="J1237" i="1" a="1"/>
  <c r="J1237" i="1" s="1"/>
  <c r="I1237" i="1" a="1"/>
  <c r="I1237" i="1"/>
  <c r="J1239" i="1" a="1"/>
  <c r="J1239" i="1" s="1"/>
  <c r="F1239" i="1" a="1"/>
  <c r="F1239" i="1" s="1"/>
  <c r="K1234" i="1" a="1"/>
  <c r="K1234" i="1" s="1"/>
  <c r="H1240" i="1" a="1"/>
  <c r="H1240" i="1" s="1"/>
  <c r="J1238" i="1" a="1"/>
  <c r="J1238" i="1" s="1"/>
  <c r="F1240" i="1" a="1"/>
  <c r="F1240" i="1" s="1"/>
  <c r="F1245" i="1" a="1"/>
  <c r="F1245" i="1"/>
  <c r="F1241" i="1" a="1"/>
  <c r="F1241" i="1" s="1"/>
  <c r="H1227" i="1" a="1"/>
  <c r="H1227" i="1"/>
  <c r="F1226" i="1" a="1"/>
  <c r="F1226" i="1"/>
  <c r="K1225" i="1" a="1"/>
  <c r="K1225" i="1" s="1"/>
  <c r="G1224" i="1" a="1"/>
  <c r="G1224" i="1" s="1"/>
  <c r="K1232" i="1" a="1"/>
  <c r="K1232" i="1"/>
  <c r="J1232" i="1" a="1"/>
  <c r="J1232" i="1" s="1"/>
  <c r="H1232" i="1" a="1"/>
  <c r="H1232" i="1"/>
  <c r="F1229" i="1" a="1"/>
  <c r="F1229" i="1" s="1"/>
  <c r="K1223" i="1" a="1"/>
  <c r="K1223" i="1" s="1"/>
  <c r="G1232" i="1" a="1"/>
  <c r="G1232" i="1" s="1"/>
  <c r="I1228" i="1" a="1"/>
  <c r="I1228" i="1" s="1"/>
  <c r="J1227" i="1" a="1"/>
  <c r="J1227" i="1" s="1"/>
  <c r="H1224" i="1" a="1"/>
  <c r="H1224" i="1" s="1"/>
  <c r="G1226" i="1" a="1"/>
  <c r="G1226" i="1" s="1"/>
  <c r="F1232" i="1" a="1"/>
  <c r="F1232" i="1" s="1"/>
  <c r="K1231" i="1" a="1"/>
  <c r="K1231" i="1" s="1"/>
  <c r="I1229" i="1" a="1"/>
  <c r="I1229" i="1" s="1"/>
  <c r="F1224" i="1" a="1"/>
  <c r="F1224" i="1" s="1"/>
  <c r="I1231" i="1" a="1"/>
  <c r="I1231" i="1" s="1"/>
  <c r="H1231" i="1" a="1"/>
  <c r="H1231" i="1" s="1"/>
  <c r="G1229" i="1" a="1"/>
  <c r="G1229" i="1" s="1"/>
  <c r="H1230" i="1" a="1"/>
  <c r="H1230" i="1" s="1"/>
  <c r="K1228" i="1" a="1"/>
  <c r="K1228" i="1" s="1"/>
  <c r="I1226" i="1" a="1"/>
  <c r="I1226" i="1" s="1"/>
  <c r="I1224" i="1" a="1"/>
  <c r="I1224" i="1" s="1"/>
  <c r="J1231" i="1" a="1"/>
  <c r="J1231" i="1" s="1"/>
  <c r="G1225" i="1" a="1"/>
  <c r="G1225" i="1" s="1"/>
  <c r="J1230" i="1" a="1"/>
  <c r="J1230" i="1" s="1"/>
  <c r="K1229" i="1" a="1"/>
  <c r="K1229" i="1" s="1"/>
  <c r="J1228" i="1" a="1"/>
  <c r="J1228" i="1" s="1"/>
  <c r="K1227" i="1" a="1"/>
  <c r="K1227" i="1" s="1"/>
  <c r="K1226" i="1" a="1"/>
  <c r="K1226" i="1" s="1"/>
  <c r="H1226" i="1" a="1"/>
  <c r="H1226" i="1" s="1"/>
  <c r="K1224" i="1" a="1"/>
  <c r="K1224" i="1" s="1"/>
  <c r="J1225" i="1" a="1"/>
  <c r="J1225" i="1" s="1"/>
  <c r="F1231" i="1" a="1"/>
  <c r="F1231" i="1" s="1"/>
  <c r="K1230" i="1" a="1"/>
  <c r="K1230" i="1" s="1"/>
  <c r="H1229" i="1" a="1"/>
  <c r="H1229" i="1" s="1"/>
  <c r="J1224" i="1" a="1"/>
  <c r="J1224" i="1" s="1"/>
  <c r="F1227" i="1" a="1"/>
  <c r="F1227" i="1" s="1"/>
  <c r="G1231" i="1" a="1"/>
  <c r="G1231" i="1" s="1"/>
  <c r="I1230" i="1" a="1"/>
  <c r="I1230" i="1" s="1"/>
  <c r="I1225" i="1" a="1"/>
  <c r="I1225" i="1" s="1"/>
  <c r="F1230" i="1" a="1"/>
  <c r="F1230" i="1" s="1"/>
  <c r="G1228" i="1" a="1"/>
  <c r="G1228" i="1" s="1"/>
  <c r="F1225" i="1" a="1"/>
  <c r="F1225" i="1" s="1"/>
  <c r="J1226" i="1" a="1"/>
  <c r="J1226" i="1" s="1"/>
  <c r="H1233" i="1" a="1"/>
  <c r="H1233" i="1" s="1"/>
  <c r="G1227" i="1" a="1"/>
  <c r="G1227" i="1" s="1"/>
  <c r="H1234" i="1" a="1"/>
  <c r="H1234" i="1" s="1"/>
  <c r="I1232" i="1" a="1"/>
  <c r="I1232" i="1" s="1"/>
  <c r="G1234" i="1" a="1"/>
  <c r="G1234" i="1" s="1"/>
  <c r="F1234" i="1" a="1"/>
  <c r="F1234" i="1" s="1"/>
  <c r="K1233" i="1" a="1"/>
  <c r="K1233" i="1" s="1"/>
  <c r="J1233" i="1" a="1"/>
  <c r="J1233" i="1" s="1"/>
  <c r="I1233" i="1" a="1"/>
  <c r="I1233" i="1" s="1"/>
  <c r="G1233" i="1" a="1"/>
  <c r="G1233" i="1" s="1"/>
  <c r="J1229" i="1" a="1"/>
  <c r="J1229" i="1" s="1"/>
  <c r="F1233" i="1" a="1"/>
  <c r="F1233" i="1" s="1"/>
  <c r="G1230" i="1" a="1"/>
  <c r="G1230" i="1" s="1"/>
  <c r="I1227" i="1" a="1"/>
  <c r="I1227" i="1" s="1"/>
  <c r="H1228" i="1" a="1"/>
  <c r="H1228" i="1" s="1"/>
  <c r="F1228" i="1" a="1"/>
  <c r="F1228" i="1" s="1"/>
  <c r="H1225" i="1" a="1"/>
  <c r="H1225" i="1" s="1"/>
  <c r="J1216" i="1" a="1"/>
  <c r="J1216" i="1" s="1"/>
  <c r="K1218" i="1" a="1"/>
  <c r="K1218" i="1" s="1"/>
  <c r="F1223" i="1" a="1"/>
  <c r="F1223" i="1" s="1"/>
  <c r="K1222" i="1" a="1"/>
  <c r="K1222" i="1" s="1"/>
  <c r="F1221" i="1" a="1"/>
  <c r="F1221" i="1" s="1"/>
  <c r="J1222" i="1" a="1"/>
  <c r="J1222" i="1" s="1"/>
  <c r="J1221" i="1" a="1"/>
  <c r="J1221" i="1" s="1"/>
  <c r="I1215" i="1" a="1"/>
  <c r="I1215" i="1" s="1"/>
  <c r="I1219" i="1" a="1"/>
  <c r="I1219" i="1" s="1"/>
  <c r="H1218" i="1" a="1"/>
  <c r="H1218" i="1" s="1"/>
  <c r="I1217" i="1" a="1"/>
  <c r="I1217" i="1" s="1"/>
  <c r="G1222" i="1" a="1"/>
  <c r="G1222" i="1" s="1"/>
  <c r="F1220" i="1" a="1"/>
  <c r="F1220" i="1" s="1"/>
  <c r="I1218" i="1" a="1"/>
  <c r="I1218" i="1" s="1"/>
  <c r="K1214" i="1" a="1"/>
  <c r="K1214" i="1" s="1"/>
  <c r="F1222" i="1" a="1"/>
  <c r="F1222" i="1" s="1"/>
  <c r="I1216" i="1" a="1"/>
  <c r="I1216" i="1" s="1"/>
  <c r="G1221" i="1" a="1"/>
  <c r="G1221" i="1" s="1"/>
  <c r="I1214" i="1" a="1"/>
  <c r="I1214" i="1" s="1"/>
  <c r="J1219" i="1" a="1"/>
  <c r="J1219" i="1" s="1"/>
  <c r="G1220" i="1" a="1"/>
  <c r="G1220" i="1" s="1"/>
  <c r="H1216" i="1" a="1"/>
  <c r="H1216" i="1" s="1"/>
  <c r="G1214" i="1" a="1"/>
  <c r="G1214" i="1" s="1"/>
  <c r="F1219" i="1" a="1"/>
  <c r="F1219" i="1" s="1"/>
  <c r="F1218" i="1" a="1"/>
  <c r="F1218" i="1" s="1"/>
  <c r="J1218" i="1" a="1"/>
  <c r="J1218" i="1" s="1"/>
  <c r="J1214" i="1" a="1"/>
  <c r="J1214" i="1" s="1"/>
  <c r="I1222" i="1" a="1"/>
  <c r="I1222" i="1" s="1"/>
  <c r="K1216" i="1" a="1"/>
  <c r="K1216" i="1" s="1"/>
  <c r="F1215" i="1" a="1"/>
  <c r="F1215" i="1" s="1"/>
  <c r="G1216" i="1" a="1"/>
  <c r="G1216" i="1" s="1"/>
  <c r="F1214" i="1" a="1"/>
  <c r="F1214" i="1" s="1"/>
  <c r="J1220" i="1" a="1"/>
  <c r="J1220" i="1" s="1"/>
  <c r="G1217" i="1" a="1"/>
  <c r="G1217" i="1" s="1"/>
  <c r="J1215" i="1" a="1"/>
  <c r="J1215" i="1" s="1"/>
  <c r="G1215" i="1" a="1"/>
  <c r="G1215" i="1" s="1"/>
  <c r="J1213" i="1" a="1"/>
  <c r="J1213" i="1" s="1"/>
  <c r="K1221" i="1" a="1"/>
  <c r="K1221" i="1" s="1"/>
  <c r="F1216" i="1" a="1"/>
  <c r="F1216" i="1" s="1"/>
  <c r="G1223" i="1" a="1"/>
  <c r="G1223" i="1" s="1"/>
  <c r="I1220" i="1" a="1"/>
  <c r="I1220" i="1" s="1"/>
  <c r="J1217" i="1" a="1"/>
  <c r="J1217" i="1" s="1"/>
  <c r="H1217" i="1" a="1"/>
  <c r="H1217" i="1" s="1"/>
  <c r="H1221" i="1" a="1"/>
  <c r="H1221" i="1" s="1"/>
  <c r="H1214" i="1" a="1"/>
  <c r="H1214" i="1" s="1"/>
  <c r="I1223" i="1" a="1"/>
  <c r="I1223" i="1" s="1"/>
  <c r="K1220" i="1" a="1"/>
  <c r="K1220" i="1" s="1"/>
  <c r="F1217" i="1" a="1"/>
  <c r="F1217" i="1" s="1"/>
  <c r="I1213" i="1" a="1"/>
  <c r="I1213" i="1" s="1"/>
  <c r="K1219" i="1" a="1"/>
  <c r="K1219" i="1" s="1"/>
  <c r="K1215" i="1" a="1"/>
  <c r="K1215" i="1" s="1"/>
  <c r="H1219" i="1" a="1"/>
  <c r="H1219" i="1" s="1"/>
  <c r="G1219" i="1" a="1"/>
  <c r="G1219" i="1" s="1"/>
  <c r="G1218" i="1" a="1"/>
  <c r="G1218" i="1" s="1"/>
  <c r="J1223" i="1" a="1"/>
  <c r="J1223" i="1" s="1"/>
  <c r="H1223" i="1" a="1"/>
  <c r="H1223" i="1" s="1"/>
  <c r="I1221" i="1" a="1"/>
  <c r="I1221" i="1" s="1"/>
  <c r="K1217" i="1" a="1"/>
  <c r="K1217" i="1" s="1"/>
  <c r="K1213" i="1" a="1"/>
  <c r="K1213" i="1" s="1"/>
  <c r="H1215" i="1" a="1"/>
  <c r="H1215" i="1" s="1"/>
  <c r="H1222" i="1" a="1"/>
  <c r="H1222" i="1" s="1"/>
  <c r="H1220" i="1" a="1"/>
  <c r="H1220" i="1" s="1"/>
  <c r="J1212" i="1" a="1"/>
  <c r="J1212" i="1" s="1"/>
  <c r="I1210" i="1" a="1"/>
  <c r="I1210" i="1" s="1"/>
  <c r="G1212" i="1" a="1"/>
  <c r="G1212" i="1" s="1"/>
  <c r="K1210" i="1" a="1"/>
  <c r="K1210" i="1" s="1"/>
  <c r="F1212" i="1" a="1"/>
  <c r="F1212" i="1" s="1"/>
  <c r="F1207" i="1" a="1"/>
  <c r="F1207" i="1" s="1"/>
  <c r="G1206" i="1" a="1"/>
  <c r="G1206" i="1" s="1"/>
  <c r="J1210" i="1" a="1"/>
  <c r="J1210" i="1" s="1"/>
  <c r="I1208" i="1" a="1"/>
  <c r="I1208" i="1" s="1"/>
  <c r="K1209" i="1" a="1"/>
  <c r="K1209" i="1" s="1"/>
  <c r="I1209" i="1" a="1"/>
  <c r="I1209" i="1" s="1"/>
  <c r="H1209" i="1" a="1"/>
  <c r="H1209" i="1" s="1"/>
  <c r="K1208" i="1" a="1"/>
  <c r="K1208" i="1" s="1"/>
  <c r="J1208" i="1" a="1"/>
  <c r="J1208" i="1" s="1"/>
  <c r="G1208" i="1" a="1"/>
  <c r="G1208" i="1" s="1"/>
  <c r="I1207" i="1" a="1"/>
  <c r="I1207" i="1" s="1"/>
  <c r="H1199" i="1" a="1"/>
  <c r="H1199" i="1" s="1"/>
  <c r="H1206" i="1" a="1"/>
  <c r="H1206" i="1" s="1"/>
  <c r="F1200" i="1" a="1"/>
  <c r="F1200" i="1" s="1"/>
  <c r="F1206" i="1" a="1"/>
  <c r="F1206" i="1" s="1"/>
  <c r="G1207" i="1" a="1"/>
  <c r="G1207" i="1" s="1"/>
  <c r="K1200" i="1" a="1"/>
  <c r="K1200" i="1" s="1"/>
  <c r="H1200" i="1" a="1"/>
  <c r="H1200" i="1" s="1"/>
  <c r="J1206" i="1" a="1"/>
  <c r="J1206" i="1" s="1"/>
  <c r="J1199" i="1" a="1"/>
  <c r="J1199" i="1" s="1"/>
  <c r="I1206" i="1" a="1"/>
  <c r="I1206" i="1" s="1"/>
  <c r="J1200" i="1" a="1"/>
  <c r="J1200" i="1" s="1"/>
  <c r="I1199" i="1" a="1"/>
  <c r="I1199" i="1" s="1"/>
  <c r="H1208" i="1" a="1"/>
  <c r="H1208" i="1" s="1"/>
  <c r="K1207" i="1" a="1"/>
  <c r="K1207" i="1" s="1"/>
  <c r="H1212" i="1" a="1"/>
  <c r="H1212" i="1" s="1"/>
  <c r="F1210" i="1" a="1"/>
  <c r="F1210" i="1" s="1"/>
  <c r="K1206" i="1" a="1"/>
  <c r="K1206" i="1" s="1"/>
  <c r="J1209" i="1" a="1"/>
  <c r="J1209" i="1" s="1"/>
  <c r="H1207" i="1" a="1"/>
  <c r="H1207" i="1" s="1"/>
  <c r="G1200" i="1" a="1"/>
  <c r="G1200" i="1" s="1"/>
  <c r="H1213" i="1" a="1"/>
  <c r="H1213" i="1" s="1"/>
  <c r="G1213" i="1" a="1"/>
  <c r="G1213" i="1" s="1"/>
  <c r="J1207" i="1" a="1"/>
  <c r="J1207" i="1" s="1"/>
  <c r="F1213" i="1" a="1"/>
  <c r="F1213" i="1" s="1"/>
  <c r="H1210" i="1" a="1"/>
  <c r="H1210" i="1" s="1"/>
  <c r="G1209" i="1" a="1"/>
  <c r="G1209" i="1" s="1"/>
  <c r="F1209" i="1" a="1"/>
  <c r="F1209" i="1" s="1"/>
  <c r="I1200" i="1" a="1"/>
  <c r="I1200" i="1" s="1"/>
  <c r="F1208" i="1" a="1"/>
  <c r="F1208" i="1" s="1"/>
  <c r="K1199" i="1" a="1"/>
  <c r="K1199" i="1" s="1"/>
  <c r="G1210" i="1" a="1"/>
  <c r="G1210" i="1" s="1"/>
  <c r="K1212" i="1" a="1"/>
  <c r="K1212" i="1" s="1"/>
  <c r="I1212" i="1" a="1"/>
  <c r="I1212" i="1" s="1"/>
  <c r="K1197" i="1" a="1"/>
  <c r="K1197" i="1" s="1"/>
  <c r="G1197" i="1" a="1"/>
  <c r="G1197" i="1" s="1"/>
  <c r="K1196" i="1" a="1"/>
  <c r="K1196" i="1" s="1"/>
  <c r="H1190" i="1" a="1"/>
  <c r="H1190" i="1" s="1"/>
  <c r="I1196" i="1" a="1"/>
  <c r="I1196" i="1" s="1"/>
  <c r="G1194" i="1" a="1"/>
  <c r="G1194" i="1" s="1"/>
  <c r="G1190" i="1" a="1"/>
  <c r="G1190" i="1" s="1"/>
  <c r="J1188" i="1" a="1"/>
  <c r="J1188" i="1" s="1"/>
  <c r="H1189" i="1" a="1"/>
  <c r="H1189" i="1" s="1"/>
  <c r="J1193" i="1" a="1"/>
  <c r="J1193" i="1" s="1"/>
  <c r="K1190" i="1" a="1"/>
  <c r="K1190" i="1" s="1"/>
  <c r="G1193" i="1" a="1"/>
  <c r="G1193" i="1" s="1"/>
  <c r="H1196" i="1" a="1"/>
  <c r="H1196" i="1" s="1"/>
  <c r="G1189" i="1" a="1"/>
  <c r="G1189" i="1" s="1"/>
  <c r="G1196" i="1" a="1"/>
  <c r="G1196" i="1" s="1"/>
  <c r="K1195" i="1" a="1"/>
  <c r="K1195" i="1" s="1"/>
  <c r="G1195" i="1" a="1"/>
  <c r="G1195" i="1" s="1"/>
  <c r="I1195" i="1" a="1"/>
  <c r="I1195" i="1" s="1"/>
  <c r="F1195" i="1" a="1"/>
  <c r="F1195" i="1" s="1"/>
  <c r="I1190" i="1" a="1"/>
  <c r="I1190" i="1" s="1"/>
  <c r="H1194" i="1" a="1"/>
  <c r="H1194" i="1" s="1"/>
  <c r="K1194" i="1" a="1"/>
  <c r="K1194" i="1" s="1"/>
  <c r="K1193" i="1" a="1"/>
  <c r="K1193" i="1" s="1"/>
  <c r="I1191" i="1" a="1"/>
  <c r="I1191" i="1" s="1"/>
  <c r="F1192" i="1" a="1"/>
  <c r="F1192" i="1" s="1"/>
  <c r="G1192" i="1" a="1"/>
  <c r="G1192" i="1" s="1"/>
  <c r="H1193" i="1" a="1"/>
  <c r="H1193" i="1" s="1"/>
  <c r="F1193" i="1" a="1"/>
  <c r="F1193" i="1" s="1"/>
  <c r="K1192" i="1" a="1"/>
  <c r="K1192" i="1" s="1"/>
  <c r="J1191" i="1" a="1"/>
  <c r="J1191" i="1" s="1"/>
  <c r="F1189" i="1" a="1"/>
  <c r="F1189" i="1" s="1"/>
  <c r="G1191" i="1" a="1"/>
  <c r="G1191" i="1" s="1"/>
  <c r="G1199" i="1" a="1"/>
  <c r="G1199" i="1" s="1"/>
  <c r="F1191" i="1" a="1"/>
  <c r="F1191" i="1" s="1"/>
  <c r="F1197" i="1" a="1"/>
  <c r="F1197" i="1" s="1"/>
  <c r="H1195" i="1" a="1"/>
  <c r="H1195" i="1" s="1"/>
  <c r="F1199" i="1" a="1"/>
  <c r="F1199" i="1" s="1"/>
  <c r="J1197" i="1" a="1"/>
  <c r="J1197" i="1" s="1"/>
  <c r="K1189" i="1" a="1"/>
  <c r="K1189" i="1" s="1"/>
  <c r="I1194" i="1" a="1"/>
  <c r="I1194" i="1" s="1"/>
  <c r="K1198" i="1" a="1"/>
  <c r="K1198" i="1" s="1"/>
  <c r="H1191" i="1" a="1"/>
  <c r="H1191" i="1" s="1"/>
  <c r="J1198" i="1" a="1"/>
  <c r="J1198" i="1" s="1"/>
  <c r="I1198" i="1" a="1"/>
  <c r="I1198" i="1" s="1"/>
  <c r="I1197" i="1" a="1"/>
  <c r="I1197" i="1" s="1"/>
  <c r="J1194" i="1" a="1"/>
  <c r="J1194" i="1" s="1"/>
  <c r="I1193" i="1" a="1"/>
  <c r="I1193" i="1" s="1"/>
  <c r="J1192" i="1" a="1"/>
  <c r="J1192" i="1" s="1"/>
  <c r="K1191" i="1" a="1"/>
  <c r="K1191" i="1" s="1"/>
  <c r="J1196" i="1" a="1"/>
  <c r="J1196" i="1" s="1"/>
  <c r="J1189" i="1" a="1"/>
  <c r="J1189" i="1" s="1"/>
  <c r="F1196" i="1" a="1"/>
  <c r="F1196" i="1" s="1"/>
  <c r="I1192" i="1" a="1"/>
  <c r="I1192" i="1" s="1"/>
  <c r="I1189" i="1" a="1"/>
  <c r="I1189" i="1" s="1"/>
  <c r="F1194" i="1" a="1"/>
  <c r="F1194" i="1" s="1"/>
  <c r="J1190" i="1" a="1"/>
  <c r="J1190" i="1" s="1"/>
  <c r="F1190" i="1" a="1"/>
  <c r="F1190" i="1" s="1"/>
  <c r="H1197" i="1" a="1"/>
  <c r="H1197" i="1" s="1"/>
  <c r="J1195" i="1" a="1"/>
  <c r="J1195" i="1" s="1"/>
  <c r="H1198" i="1" a="1"/>
  <c r="H1198" i="1" s="1"/>
  <c r="G1198" i="1" a="1"/>
  <c r="G1198" i="1" s="1"/>
  <c r="F1198" i="1" a="1"/>
  <c r="F1198" i="1" s="1"/>
  <c r="H1192" i="1" a="1"/>
  <c r="H1192" i="1" s="1"/>
  <c r="K1188" i="1" a="1"/>
  <c r="K1188" i="1" s="1"/>
  <c r="J1183" i="1" a="1"/>
  <c r="J1183" i="1" s="1"/>
  <c r="F1183" i="1" a="1"/>
  <c r="F1183" i="1" s="1"/>
  <c r="I1177" i="1" a="1"/>
  <c r="I1177" i="1" s="1"/>
  <c r="H1177" i="1" a="1"/>
  <c r="H1177" i="1" s="1"/>
  <c r="J1175" i="1" a="1"/>
  <c r="J1175" i="1" s="1"/>
  <c r="H1176" i="1" a="1"/>
  <c r="H1176" i="1" s="1"/>
  <c r="H1185" i="1" a="1"/>
  <c r="H1185" i="1" s="1"/>
  <c r="F1177" i="1" a="1"/>
  <c r="F1177" i="1" s="1"/>
  <c r="G1176" i="1" a="1"/>
  <c r="G1176" i="1" s="1"/>
  <c r="I1188" i="1" a="1"/>
  <c r="I1188" i="1" s="1"/>
  <c r="H1188" i="1" a="1"/>
  <c r="H1188" i="1" s="1"/>
  <c r="K1187" i="1" a="1"/>
  <c r="K1187" i="1" s="1"/>
  <c r="J1186" i="1" a="1"/>
  <c r="J1186" i="1" s="1"/>
  <c r="K1183" i="1" a="1"/>
  <c r="K1183" i="1" s="1"/>
  <c r="K1177" i="1" a="1"/>
  <c r="K1177" i="1" s="1"/>
  <c r="J1176" i="1" a="1"/>
  <c r="J1176" i="1" s="1"/>
  <c r="H1186" i="1" a="1"/>
  <c r="H1186" i="1" s="1"/>
  <c r="K1184" i="1" a="1"/>
  <c r="K1184" i="1" s="1"/>
  <c r="G1183" i="1" a="1"/>
  <c r="G1183" i="1" s="1"/>
  <c r="K1185" i="1" a="1"/>
  <c r="K1185" i="1" s="1"/>
  <c r="F1176" i="1" a="1"/>
  <c r="F1176" i="1" s="1"/>
  <c r="G1186" i="1" a="1"/>
  <c r="G1186" i="1" s="1"/>
  <c r="G1188" i="1" a="1"/>
  <c r="G1188" i="1" s="1"/>
  <c r="F1188" i="1" a="1"/>
  <c r="F1188" i="1" s="1"/>
  <c r="I1187" i="1" a="1"/>
  <c r="I1187" i="1" s="1"/>
  <c r="J1185" i="1" a="1"/>
  <c r="J1185" i="1" s="1"/>
  <c r="J1187" i="1" a="1"/>
  <c r="J1187" i="1" s="1"/>
  <c r="H1187" i="1" a="1"/>
  <c r="H1187" i="1" s="1"/>
  <c r="K1186" i="1" a="1"/>
  <c r="K1186" i="1" s="1"/>
  <c r="F1186" i="1" a="1"/>
  <c r="F1186" i="1" s="1"/>
  <c r="I1184" i="1" a="1"/>
  <c r="I1184" i="1" s="1"/>
  <c r="F1184" i="1" a="1"/>
  <c r="F1184" i="1" s="1"/>
  <c r="I1176" i="1" a="1"/>
  <c r="I1176" i="1" s="1"/>
  <c r="G1187" i="1" a="1"/>
  <c r="G1187" i="1" s="1"/>
  <c r="F1187" i="1" a="1"/>
  <c r="F1187" i="1" s="1"/>
  <c r="I1186" i="1" a="1"/>
  <c r="I1186" i="1" s="1"/>
  <c r="K1176" i="1" a="1"/>
  <c r="K1176" i="1" s="1"/>
  <c r="I1185" i="1" a="1"/>
  <c r="I1185" i="1" s="1"/>
  <c r="H1184" i="1" a="1"/>
  <c r="H1184" i="1" s="1"/>
  <c r="G1185" i="1" a="1"/>
  <c r="G1185" i="1" s="1"/>
  <c r="I1183" i="1" a="1"/>
  <c r="I1183" i="1" s="1"/>
  <c r="H1183" i="1" a="1"/>
  <c r="H1183" i="1" s="1"/>
  <c r="G1177" i="1" a="1"/>
  <c r="G1177" i="1" s="1"/>
  <c r="J1177" i="1" a="1"/>
  <c r="J1177" i="1" s="1"/>
  <c r="F1185" i="1" a="1"/>
  <c r="F1185" i="1" s="1"/>
  <c r="J1184" i="1" a="1"/>
  <c r="J1184" i="1" s="1"/>
  <c r="G1184" i="1" a="1"/>
  <c r="G1184" i="1" s="1"/>
  <c r="K1175" i="1" a="1"/>
  <c r="K1175" i="1" s="1"/>
  <c r="J1166" i="1" a="1"/>
  <c r="J1166" i="1" s="1"/>
  <c r="I1174" i="1" a="1"/>
  <c r="I1174" i="1" s="1"/>
  <c r="H1174" i="1" a="1"/>
  <c r="H1174" i="1" s="1"/>
  <c r="I1168" i="1" a="1"/>
  <c r="I1168" i="1" s="1"/>
  <c r="J1167" i="1" a="1"/>
  <c r="J1167" i="1" s="1"/>
  <c r="F1172" i="1" a="1"/>
  <c r="F1172" i="1" s="1"/>
  <c r="H1168" i="1" a="1"/>
  <c r="H1168" i="1" s="1"/>
  <c r="I1166" i="1" a="1"/>
  <c r="I1166" i="1" s="1"/>
  <c r="G1165" i="1" a="1"/>
  <c r="G1165" i="1" s="1"/>
  <c r="J1169" i="1" a="1"/>
  <c r="J1169" i="1" s="1"/>
  <c r="G1166" i="1" a="1"/>
  <c r="G1166" i="1" s="1"/>
  <c r="H1170" i="1" a="1"/>
  <c r="H1170" i="1" s="1"/>
  <c r="F1173" i="1" a="1"/>
  <c r="F1173" i="1" s="1"/>
  <c r="F1168" i="1" a="1"/>
  <c r="F1168" i="1" s="1"/>
  <c r="I1172" i="1" a="1"/>
  <c r="I1172" i="1" s="1"/>
  <c r="I1171" i="1" a="1"/>
  <c r="I1171" i="1" s="1"/>
  <c r="G1169" i="1" a="1"/>
  <c r="G1169" i="1" s="1"/>
  <c r="G1174" i="1" a="1"/>
  <c r="G1174" i="1" s="1"/>
  <c r="K1171" i="1" a="1"/>
  <c r="K1171" i="1" s="1"/>
  <c r="J1168" i="1" a="1"/>
  <c r="J1168" i="1" s="1"/>
  <c r="J1173" i="1" a="1"/>
  <c r="J1173" i="1" s="1"/>
  <c r="K1172" i="1" a="1"/>
  <c r="K1172" i="1" s="1"/>
  <c r="G1172" i="1" a="1"/>
  <c r="G1172" i="1" s="1"/>
  <c r="G1167" i="1" a="1"/>
  <c r="G1167" i="1" s="1"/>
  <c r="H1171" i="1" a="1"/>
  <c r="H1171" i="1" s="1"/>
  <c r="I1170" i="1" a="1"/>
  <c r="I1170" i="1" s="1"/>
  <c r="F1169" i="1" a="1"/>
  <c r="F1169" i="1" s="1"/>
  <c r="F1170" i="1" a="1"/>
  <c r="F1170" i="1" s="1"/>
  <c r="F1167" i="1" a="1"/>
  <c r="F1167" i="1" s="1"/>
  <c r="K1166" i="1" a="1"/>
  <c r="K1166" i="1" s="1"/>
  <c r="K1165" i="1" a="1"/>
  <c r="K1165" i="1" s="1"/>
  <c r="H1167" i="1" a="1"/>
  <c r="H1167" i="1" s="1"/>
  <c r="H1169" i="1" a="1"/>
  <c r="H1169" i="1" s="1"/>
  <c r="F1174" i="1" a="1"/>
  <c r="F1174" i="1" s="1"/>
  <c r="J1171" i="1" a="1"/>
  <c r="J1171" i="1" s="1"/>
  <c r="K1167" i="1" a="1"/>
  <c r="K1167" i="1" s="1"/>
  <c r="H1166" i="1" a="1"/>
  <c r="H1166" i="1" s="1"/>
  <c r="J1170" i="1" a="1"/>
  <c r="J1170" i="1"/>
  <c r="F1166" i="1" a="1"/>
  <c r="F1166" i="1" s="1"/>
  <c r="I1175" i="1" a="1"/>
  <c r="I1175" i="1" s="1"/>
  <c r="H1165" i="1" a="1"/>
  <c r="H1165" i="1" s="1"/>
  <c r="I1173" i="1" a="1"/>
  <c r="I1173" i="1" s="1"/>
  <c r="H1175" i="1" a="1"/>
  <c r="H1175" i="1"/>
  <c r="K1168" i="1" a="1"/>
  <c r="K1168" i="1" s="1"/>
  <c r="H1172" i="1" a="1"/>
  <c r="H1172" i="1" s="1"/>
  <c r="I1165" i="1" a="1"/>
  <c r="I1165" i="1" s="1"/>
  <c r="G1170" i="1" a="1"/>
  <c r="G1170" i="1" s="1"/>
  <c r="J1165" i="1" a="1"/>
  <c r="J1165" i="1" s="1"/>
  <c r="G1175" i="1" a="1"/>
  <c r="G1175" i="1"/>
  <c r="F1175" i="1" a="1"/>
  <c r="F1175" i="1" s="1"/>
  <c r="I1167" i="1" a="1"/>
  <c r="I1167" i="1"/>
  <c r="H1173" i="1" a="1"/>
  <c r="H1173" i="1"/>
  <c r="G1171" i="1" a="1"/>
  <c r="G1171" i="1" s="1"/>
  <c r="K1174" i="1" a="1"/>
  <c r="K1174" i="1"/>
  <c r="K1173" i="1" a="1"/>
  <c r="K1173" i="1" s="1"/>
  <c r="J1172" i="1" a="1"/>
  <c r="J1172" i="1" s="1"/>
  <c r="G1168" i="1" a="1"/>
  <c r="G1168" i="1"/>
  <c r="F1171" i="1" a="1"/>
  <c r="F1171" i="1" s="1"/>
  <c r="K1170" i="1" a="1"/>
  <c r="K1170" i="1"/>
  <c r="K1169" i="1" a="1"/>
  <c r="K1169" i="1"/>
  <c r="F1165" i="1" a="1"/>
  <c r="F1165" i="1" s="1"/>
  <c r="I1169" i="1" a="1"/>
  <c r="I1169" i="1" s="1"/>
  <c r="J1174" i="1" a="1"/>
  <c r="J1174" i="1" s="1"/>
  <c r="G1173" i="1" a="1"/>
  <c r="G1173" i="1"/>
  <c r="K1154" i="1" a="1"/>
  <c r="K1154" i="1" s="1"/>
  <c r="J1161" i="1" a="1"/>
  <c r="J1161" i="1" s="1"/>
  <c r="I1161" i="1" a="1"/>
  <c r="I1161" i="1" s="1"/>
  <c r="G1161" i="1" a="1"/>
  <c r="G1161" i="1"/>
  <c r="F1161" i="1" a="1"/>
  <c r="F1161" i="1" s="1"/>
  <c r="K1160" i="1" a="1"/>
  <c r="K1160" i="1" s="1"/>
  <c r="J1160" i="1" a="1"/>
  <c r="J1160" i="1" s="1"/>
  <c r="H1160" i="1" a="1"/>
  <c r="H1160" i="1"/>
  <c r="G1160" i="1" a="1"/>
  <c r="G1160" i="1"/>
  <c r="G1152" i="1" a="1"/>
  <c r="G1152" i="1"/>
  <c r="G1154" i="1" a="1"/>
  <c r="G1154" i="1" s="1"/>
  <c r="J1154" i="1" a="1"/>
  <c r="J1154" i="1" s="1"/>
  <c r="K1153" i="1" a="1"/>
  <c r="K1153" i="1" s="1"/>
  <c r="H1153" i="1" a="1"/>
  <c r="H1153" i="1"/>
  <c r="F1153" i="1" a="1"/>
  <c r="F1153" i="1"/>
  <c r="J1153" i="1" a="1"/>
  <c r="J1153" i="1"/>
  <c r="J1152" i="1" a="1"/>
  <c r="J1152" i="1" s="1"/>
  <c r="K1152" i="1" a="1"/>
  <c r="K1152" i="1" s="1"/>
  <c r="F1152" i="1" a="1"/>
  <c r="F1152" i="1" s="1"/>
  <c r="I1160" i="1" a="1"/>
  <c r="I1160" i="1" s="1"/>
  <c r="G1153" i="1" a="1"/>
  <c r="G1153" i="1"/>
  <c r="H1154" i="1" a="1"/>
  <c r="H1154" i="1" s="1"/>
  <c r="I1152" i="1" a="1"/>
  <c r="I1152" i="1"/>
  <c r="K1151" i="1" a="1"/>
  <c r="K1151" i="1" s="1"/>
  <c r="H1152" i="1" a="1"/>
  <c r="H1152" i="1"/>
  <c r="J1163" i="1" a="1"/>
  <c r="J1163" i="1" s="1"/>
  <c r="K1161" i="1" a="1"/>
  <c r="K1161" i="1"/>
  <c r="K1164" i="1" a="1"/>
  <c r="K1164" i="1"/>
  <c r="J1164" i="1" a="1"/>
  <c r="J1164" i="1" s="1"/>
  <c r="G1163" i="1" a="1"/>
  <c r="G1163" i="1"/>
  <c r="I1164" i="1" a="1"/>
  <c r="I1164" i="1"/>
  <c r="H1164" i="1" a="1"/>
  <c r="H1164" i="1" s="1"/>
  <c r="G1164" i="1" a="1"/>
  <c r="G1164" i="1"/>
  <c r="K1162" i="1" a="1"/>
  <c r="K1162" i="1" s="1"/>
  <c r="J1151" i="1" a="1"/>
  <c r="J1151" i="1"/>
  <c r="I1153" i="1" a="1"/>
  <c r="I1153" i="1" s="1"/>
  <c r="F1164" i="1" a="1"/>
  <c r="F1164" i="1"/>
  <c r="K1163" i="1" a="1"/>
  <c r="K1163" i="1" s="1"/>
  <c r="I1163" i="1" a="1"/>
  <c r="I1163" i="1"/>
  <c r="H1163" i="1" a="1"/>
  <c r="H1163" i="1" s="1"/>
  <c r="F1163" i="1" a="1"/>
  <c r="F1163" i="1" s="1"/>
  <c r="J1162" i="1" a="1"/>
  <c r="J1162" i="1" s="1"/>
  <c r="I1162" i="1" a="1"/>
  <c r="I1162" i="1" s="1"/>
  <c r="H1162" i="1" a="1"/>
  <c r="H1162" i="1"/>
  <c r="G1162" i="1" a="1"/>
  <c r="G1162" i="1" s="1"/>
  <c r="I1154" i="1" a="1"/>
  <c r="I1154" i="1"/>
  <c r="F1160" i="1" a="1"/>
  <c r="F1160" i="1" s="1"/>
  <c r="F1162" i="1" a="1"/>
  <c r="F1162" i="1"/>
  <c r="F1154" i="1" a="1"/>
  <c r="F1154" i="1"/>
  <c r="H1161" i="1" a="1"/>
  <c r="H1161" i="1"/>
  <c r="F1141" i="1" a="1"/>
  <c r="F1141" i="1"/>
  <c r="F1140" i="1" a="1"/>
  <c r="F1140" i="1" s="1"/>
  <c r="H1142" i="1" a="1"/>
  <c r="H1142" i="1"/>
  <c r="G1144" i="1" a="1"/>
  <c r="G1144" i="1" s="1"/>
  <c r="K1142" i="1" a="1"/>
  <c r="K1142" i="1" s="1"/>
  <c r="K1140" i="1" a="1"/>
  <c r="K1140" i="1"/>
  <c r="K1139" i="1" a="1"/>
  <c r="K1139" i="1" s="1"/>
  <c r="K1141" i="1" a="1"/>
  <c r="K1141" i="1" s="1"/>
  <c r="I1140" i="1" a="1"/>
  <c r="I1140" i="1" s="1"/>
  <c r="I1139" i="1" a="1"/>
  <c r="I1139" i="1" s="1"/>
  <c r="I1147" i="1" a="1"/>
  <c r="I1147" i="1" s="1"/>
  <c r="F1147" i="1" a="1"/>
  <c r="F1147" i="1" s="1"/>
  <c r="F1146" i="1" a="1"/>
  <c r="F1146" i="1" s="1"/>
  <c r="F1144" i="1" a="1"/>
  <c r="F1144" i="1"/>
  <c r="F1145" i="1" a="1"/>
  <c r="F1145" i="1" s="1"/>
  <c r="H1151" i="1" a="1"/>
  <c r="H1151" i="1" s="1"/>
  <c r="J1145" i="1" a="1"/>
  <c r="J1145" i="1"/>
  <c r="J1143" i="1" a="1"/>
  <c r="J1143" i="1"/>
  <c r="J1147" i="1" a="1"/>
  <c r="J1147" i="1" s="1"/>
  <c r="G1145" i="1" a="1"/>
  <c r="G1145" i="1"/>
  <c r="I1142" i="1" a="1"/>
  <c r="I1142" i="1"/>
  <c r="G1141" i="1" a="1"/>
  <c r="G1141" i="1"/>
  <c r="G1140" i="1" a="1"/>
  <c r="G1140" i="1" s="1"/>
  <c r="H1144" i="1" a="1"/>
  <c r="H1144" i="1" s="1"/>
  <c r="J1144" i="1" a="1"/>
  <c r="J1144" i="1"/>
  <c r="H1141" i="1" a="1"/>
  <c r="H1141" i="1" s="1"/>
  <c r="G1151" i="1" a="1"/>
  <c r="G1151" i="1" s="1"/>
  <c r="I1143" i="1" a="1"/>
  <c r="I1143" i="1" s="1"/>
  <c r="I1145" i="1" a="1"/>
  <c r="I1145" i="1" s="1"/>
  <c r="J1146" i="1" a="1"/>
  <c r="J1146" i="1" s="1"/>
  <c r="F1148" i="1" a="1"/>
  <c r="F1148" i="1" s="1"/>
  <c r="G1147" i="1" a="1"/>
  <c r="G1147" i="1"/>
  <c r="G1146" i="1" a="1"/>
  <c r="G1146" i="1" s="1"/>
  <c r="J1140" i="1" a="1"/>
  <c r="J1140" i="1" s="1"/>
  <c r="J1139" i="1" a="1"/>
  <c r="J1139" i="1"/>
  <c r="J1142" i="1" a="1"/>
  <c r="J1142" i="1" s="1"/>
  <c r="H1140" i="1" a="1"/>
  <c r="H1140" i="1"/>
  <c r="I1151" i="1" a="1"/>
  <c r="I1151" i="1" s="1"/>
  <c r="F1151" i="1" a="1"/>
  <c r="F1151" i="1"/>
  <c r="K1147" i="1" a="1"/>
  <c r="K1147" i="1" s="1"/>
  <c r="H1146" i="1" a="1"/>
  <c r="H1146" i="1"/>
  <c r="K1144" i="1" a="1"/>
  <c r="K1144" i="1"/>
  <c r="H1143" i="1" a="1"/>
  <c r="H1143" i="1"/>
  <c r="G1142" i="1" a="1"/>
  <c r="G1142" i="1" s="1"/>
  <c r="F1143" i="1" a="1"/>
  <c r="F1143" i="1" s="1"/>
  <c r="K1146" i="1" a="1"/>
  <c r="K1146" i="1" s="1"/>
  <c r="I1146" i="1" a="1"/>
  <c r="I1146" i="1" s="1"/>
  <c r="K1143" i="1" a="1"/>
  <c r="K1143" i="1" s="1"/>
  <c r="G1143" i="1" a="1"/>
  <c r="G1143" i="1" s="1"/>
  <c r="F1142" i="1" a="1"/>
  <c r="F1142" i="1" s="1"/>
  <c r="K1148" i="1" a="1"/>
  <c r="K1148" i="1" s="1"/>
  <c r="J1141" i="1" a="1"/>
  <c r="J1141" i="1" s="1"/>
  <c r="I1141" i="1" a="1"/>
  <c r="I1141" i="1" s="1"/>
  <c r="I1148" i="1" a="1"/>
  <c r="I1148" i="1"/>
  <c r="J1148" i="1" a="1"/>
  <c r="J1148" i="1" s="1"/>
  <c r="I1144" i="1" a="1"/>
  <c r="I1144" i="1" s="1"/>
  <c r="H1148" i="1" a="1"/>
  <c r="H1148" i="1" s="1"/>
  <c r="G1148" i="1" a="1"/>
  <c r="G1148" i="1"/>
  <c r="H1147" i="1" a="1"/>
  <c r="H1147" i="1"/>
  <c r="K1145" i="1" a="1"/>
  <c r="K1145" i="1"/>
  <c r="H1145" i="1" a="1"/>
  <c r="H1145" i="1" s="1"/>
  <c r="H1138" i="1" a="1"/>
  <c r="H1138" i="1"/>
  <c r="H1137" i="1" a="1"/>
  <c r="H1137" i="1"/>
  <c r="G1136" i="1" a="1"/>
  <c r="G1136" i="1"/>
  <c r="F1138" i="1" a="1"/>
  <c r="F1138" i="1" s="1"/>
  <c r="K1137" i="1" a="1"/>
  <c r="K1137" i="1" s="1"/>
  <c r="I1137" i="1" a="1"/>
  <c r="I1137" i="1"/>
  <c r="J1136" i="1" a="1"/>
  <c r="J1136" i="1" s="1"/>
  <c r="H1136" i="1" a="1"/>
  <c r="H1136" i="1" s="1"/>
  <c r="F1137" i="1" a="1"/>
  <c r="F1137" i="1"/>
  <c r="H1139" i="1" a="1"/>
  <c r="H1139" i="1"/>
  <c r="G1138" i="1" a="1"/>
  <c r="G1138" i="1" s="1"/>
  <c r="J1137" i="1" a="1"/>
  <c r="J1137" i="1" s="1"/>
  <c r="I1136" i="1" a="1"/>
  <c r="I1136" i="1" s="1"/>
  <c r="G1139" i="1" a="1"/>
  <c r="G1139" i="1" s="1"/>
  <c r="F1139" i="1" a="1"/>
  <c r="F1139" i="1" s="1"/>
  <c r="K1138" i="1" a="1"/>
  <c r="K1138" i="1" s="1"/>
  <c r="J1138" i="1" a="1"/>
  <c r="J1138" i="1" s="1"/>
  <c r="G1137" i="1" a="1"/>
  <c r="G1137" i="1" s="1"/>
  <c r="F1136" i="1" a="1"/>
  <c r="F1136" i="1"/>
  <c r="I1138" i="1" a="1"/>
  <c r="I1138" i="1" s="1"/>
  <c r="K1136" i="1" a="1"/>
  <c r="K1136" i="1" s="1"/>
  <c r="I1527" i="1" a="1"/>
  <c r="I1527" i="1" s="1"/>
  <c r="F1528" i="1" a="1"/>
  <c r="F1528" i="1"/>
  <c r="H1525" i="1" a="1"/>
  <c r="H1525" i="1"/>
  <c r="G1525" i="1" a="1"/>
  <c r="G1525" i="1" s="1"/>
  <c r="G1527" i="1" a="1"/>
  <c r="G1527" i="1"/>
  <c r="F1525" i="1" a="1"/>
  <c r="F1525" i="1"/>
  <c r="H1547" i="1" a="1"/>
  <c r="H1547" i="1"/>
  <c r="J1529" i="1" a="1"/>
  <c r="J1529" i="1" s="1"/>
  <c r="H1526" i="1" a="1"/>
  <c r="H1526" i="1" s="1"/>
  <c r="K1525" i="1" a="1"/>
  <c r="K1525" i="1"/>
  <c r="J1527" i="1" a="1"/>
  <c r="J1527" i="1"/>
  <c r="J1549" i="1" a="1"/>
  <c r="J1549" i="1" s="1"/>
  <c r="G1549" i="1" a="1"/>
  <c r="G1549" i="1" s="1"/>
  <c r="J1525" i="1" a="1"/>
  <c r="J1525" i="1" s="1"/>
  <c r="I1546" i="1" a="1"/>
  <c r="I1546" i="1"/>
  <c r="H1546" i="1" a="1"/>
  <c r="H1546" i="1" s="1"/>
  <c r="J1528" i="1" a="1"/>
  <c r="J1528" i="1" s="1"/>
  <c r="K1526" i="1" a="1"/>
  <c r="K1526" i="1" s="1"/>
  <c r="I1547" i="1" a="1"/>
  <c r="I1547" i="1" s="1"/>
  <c r="F1527" i="1" a="1"/>
  <c r="F1527" i="1"/>
  <c r="K1546" i="1" a="1"/>
  <c r="K1546" i="1" s="1"/>
  <c r="H1528" i="1" a="1"/>
  <c r="H1528" i="1" s="1"/>
  <c r="G1526" i="1" a="1"/>
  <c r="G1526" i="1" s="1"/>
  <c r="K1527" i="1" a="1"/>
  <c r="K1527" i="1" s="1"/>
  <c r="I1526" i="1" a="1"/>
  <c r="I1526" i="1" s="1"/>
  <c r="K1549" i="1" a="1"/>
  <c r="K1549" i="1" s="1"/>
  <c r="K1547" i="1" a="1"/>
  <c r="K1547" i="1"/>
  <c r="H1527" i="1" a="1"/>
  <c r="H1527" i="1"/>
  <c r="F1549" i="1" a="1"/>
  <c r="F1549" i="1"/>
  <c r="G1529" i="1" a="1"/>
  <c r="G1529" i="1" s="1"/>
  <c r="F1546" i="1" a="1"/>
  <c r="F1546" i="1" s="1"/>
  <c r="I1528" i="1" a="1"/>
  <c r="I1528" i="1"/>
  <c r="G1528" i="1" a="1"/>
  <c r="G1528" i="1"/>
  <c r="I1525" i="1" a="1"/>
  <c r="I1525" i="1" s="1"/>
  <c r="G1546" i="1" a="1"/>
  <c r="G1546" i="1"/>
  <c r="J1526" i="1" a="1"/>
  <c r="J1526" i="1"/>
  <c r="F1526" i="1" a="1"/>
  <c r="F1526" i="1" s="1"/>
  <c r="F1529" i="1" a="1"/>
  <c r="F1529" i="1" s="1"/>
  <c r="I1549" i="1" a="1"/>
  <c r="I1549" i="1" s="1"/>
  <c r="H1549" i="1" a="1"/>
  <c r="H1549" i="1" s="1"/>
  <c r="J1547" i="1" a="1"/>
  <c r="J1547" i="1"/>
  <c r="G1547" i="1" a="1"/>
  <c r="G1547" i="1" s="1"/>
  <c r="F1547" i="1" a="1"/>
  <c r="F1547" i="1" s="1"/>
  <c r="J1546" i="1" a="1"/>
  <c r="J1546" i="1" s="1"/>
  <c r="K1529" i="1" a="1"/>
  <c r="K1529" i="1" s="1"/>
  <c r="H1529" i="1" a="1"/>
  <c r="H1529" i="1"/>
  <c r="K1524" i="1" a="1"/>
  <c r="K1524" i="1"/>
  <c r="I1529" i="1" a="1"/>
  <c r="I1529" i="1" s="1"/>
  <c r="K1528" i="1" a="1"/>
  <c r="K1528" i="1" s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F1105" i="1" s="1"/>
  <c r="K1078" i="1"/>
  <c r="K1104" i="1" s="1"/>
  <c r="J1078" i="1"/>
  <c r="J1104" i="1" s="1"/>
  <c r="I1078" i="1"/>
  <c r="I1104" i="1" s="1"/>
  <c r="H1078" i="1"/>
  <c r="H1104" i="1" s="1"/>
  <c r="G1078" i="1"/>
  <c r="G1104" i="1" s="1"/>
  <c r="F1078" i="1"/>
  <c r="F1104" i="1" s="1"/>
  <c r="K1076" i="1"/>
  <c r="K1102" i="1" s="1"/>
  <c r="J1076" i="1"/>
  <c r="J1102" i="1" s="1"/>
  <c r="I1076" i="1"/>
  <c r="I1102" i="1" s="1"/>
  <c r="H1076" i="1"/>
  <c r="H1102" i="1" s="1"/>
  <c r="G1076" i="1"/>
  <c r="G1102" i="1" s="1"/>
  <c r="F1076" i="1"/>
  <c r="F1102" i="1" s="1"/>
  <c r="K1074" i="1"/>
  <c r="K1100" i="1" s="1"/>
  <c r="J1074" i="1"/>
  <c r="J1100" i="1" s="1"/>
  <c r="I1074" i="1"/>
  <c r="I1100" i="1" s="1"/>
  <c r="H1074" i="1"/>
  <c r="H1100" i="1" s="1"/>
  <c r="G1074" i="1"/>
  <c r="G1100" i="1" s="1"/>
  <c r="F1074" i="1"/>
  <c r="F1100" i="1" s="1"/>
  <c r="K1072" i="1"/>
  <c r="K1098" i="1" s="1"/>
  <c r="J1072" i="1"/>
  <c r="J1098" i="1" s="1"/>
  <c r="I1072" i="1"/>
  <c r="I1098" i="1" s="1"/>
  <c r="H1072" i="1"/>
  <c r="H1098" i="1" s="1"/>
  <c r="G1072" i="1"/>
  <c r="G1098" i="1" s="1"/>
  <c r="F1072" i="1"/>
  <c r="F1098" i="1" s="1"/>
  <c r="K1066" i="1"/>
  <c r="K1092" i="1" s="1"/>
  <c r="J1066" i="1"/>
  <c r="J1092" i="1" s="1"/>
  <c r="I1066" i="1"/>
  <c r="I1092" i="1" s="1"/>
  <c r="H1066" i="1"/>
  <c r="H1092" i="1" s="1"/>
  <c r="G1066" i="1"/>
  <c r="G1092" i="1" s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I1088" i="1" s="1"/>
  <c r="H1062" i="1"/>
  <c r="H1088" i="1" s="1"/>
  <c r="G1062" i="1"/>
  <c r="G1088" i="1" s="1"/>
  <c r="F1062" i="1"/>
  <c r="F1088" i="1" s="1"/>
  <c r="K1061" i="1"/>
  <c r="K1087" i="1" s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J1085" i="1" s="1"/>
  <c r="I1059" i="1"/>
  <c r="I1085" i="1" s="1"/>
  <c r="H1059" i="1"/>
  <c r="H1085" i="1" s="1"/>
  <c r="G1059" i="1"/>
  <c r="G1085" i="1" s="1"/>
  <c r="F1059" i="1"/>
  <c r="F1085" i="1" s="1"/>
  <c r="K1057" i="1"/>
  <c r="K1083" i="1" s="1"/>
  <c r="J1057" i="1"/>
  <c r="J1083" i="1" s="1"/>
  <c r="I1057" i="1"/>
  <c r="I1083" i="1" s="1"/>
  <c r="H1057" i="1"/>
  <c r="H1083" i="1" s="1"/>
  <c r="G1057" i="1"/>
  <c r="G1083" i="1" s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I902" i="1"/>
  <c r="H902" i="1"/>
  <c r="H899" i="1" s="1"/>
  <c r="G902" i="1"/>
  <c r="F902" i="1"/>
  <c r="F899" i="1" s="1"/>
  <c r="J899" i="1"/>
  <c r="I899" i="1"/>
  <c r="G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J1897" i="1" a="1"/>
  <c r="J1897" i="1" s="1"/>
  <c r="I1897" i="1" a="1"/>
  <c r="I1897" i="1" s="1"/>
  <c r="G1897" i="1" a="1"/>
  <c r="G1897" i="1" s="1"/>
  <c r="J1895" i="1" a="1"/>
  <c r="J1895" i="1" s="1"/>
  <c r="I1889" i="1" a="1"/>
  <c r="I1889" i="1" s="1"/>
  <c r="J1893" i="1" a="1"/>
  <c r="J1893" i="1" s="1"/>
  <c r="J1889" i="1" a="1"/>
  <c r="J1889" i="1"/>
  <c r="H1889" i="1" a="1"/>
  <c r="H1889" i="1" s="1"/>
  <c r="G1889" i="1" a="1"/>
  <c r="G1889" i="1" s="1"/>
  <c r="K1893" i="1" a="1"/>
  <c r="K1893" i="1" s="1"/>
  <c r="G1893" i="1" a="1"/>
  <c r="G1893" i="1" s="1"/>
  <c r="J1891" i="1" a="1"/>
  <c r="J1891" i="1" s="1"/>
  <c r="G1895" i="1" a="1"/>
  <c r="G1895" i="1" s="1"/>
  <c r="F1891" i="1" a="1"/>
  <c r="F1891" i="1" s="1"/>
  <c r="G1891" i="1" a="1"/>
  <c r="G1891" i="1"/>
  <c r="H1897" i="1" a="1"/>
  <c r="H1897" i="1"/>
  <c r="K1895" i="1" a="1"/>
  <c r="K1895" i="1" s="1"/>
  <c r="F1895" i="1" a="1"/>
  <c r="F1895" i="1" s="1"/>
  <c r="K1891" i="1" a="1"/>
  <c r="K1891" i="1" s="1"/>
  <c r="H1893" i="1" a="1"/>
  <c r="H1893" i="1" s="1"/>
  <c r="F1889" i="1" a="1"/>
  <c r="F1889" i="1" s="1"/>
  <c r="F1893" i="1" a="1"/>
  <c r="F1893" i="1" s="1"/>
  <c r="H1891" i="1" a="1"/>
  <c r="H1891" i="1" s="1"/>
  <c r="K1897" i="1" a="1"/>
  <c r="K1897" i="1" s="1"/>
  <c r="F1897" i="1" a="1"/>
  <c r="F1897" i="1" s="1"/>
  <c r="K1889" i="1" a="1"/>
  <c r="K1889" i="1" s="1"/>
  <c r="I1895" i="1" a="1"/>
  <c r="I1895" i="1" s="1"/>
  <c r="H1895" i="1" a="1"/>
  <c r="H1895" i="1" s="1"/>
  <c r="I1893" i="1" a="1"/>
  <c r="I1893" i="1" s="1"/>
  <c r="I1891" i="1" a="1"/>
  <c r="I1891" i="1" s="1"/>
  <c r="I1877" i="1" a="1"/>
  <c r="I1877" i="1" s="1"/>
  <c r="F1885" i="1" a="1"/>
  <c r="F1885" i="1" s="1"/>
  <c r="G1885" i="1" a="1"/>
  <c r="G1885" i="1" s="1"/>
  <c r="G1879" i="1" a="1"/>
  <c r="G1879" i="1" s="1"/>
  <c r="J1885" i="1" a="1"/>
  <c r="J1885" i="1" s="1"/>
  <c r="H1883" i="1" a="1"/>
  <c r="H1883" i="1" s="1"/>
  <c r="F1888" i="1" a="1"/>
  <c r="F1888" i="1" s="1"/>
  <c r="K1887" i="1" a="1"/>
  <c r="K1887" i="1" s="1"/>
  <c r="I1883" i="1" a="1"/>
  <c r="I1883" i="1" s="1"/>
  <c r="J1882" i="1" a="1"/>
  <c r="J1882" i="1" s="1"/>
  <c r="F1877" i="1" a="1"/>
  <c r="F1877" i="1" s="1"/>
  <c r="H1885" i="1" a="1"/>
  <c r="H1885" i="1" s="1"/>
  <c r="G1888" i="1" a="1"/>
  <c r="G1888" i="1" s="1"/>
  <c r="F1887" i="1" a="1"/>
  <c r="F1887" i="1" s="1"/>
  <c r="I1885" i="1" a="1"/>
  <c r="I1885" i="1" s="1"/>
  <c r="G1882" i="1" a="1"/>
  <c r="G1882" i="1" s="1"/>
  <c r="J1879" i="1" a="1"/>
  <c r="J1879" i="1" s="1"/>
  <c r="K1877" i="1" a="1"/>
  <c r="K1877" i="1" s="1"/>
  <c r="J1877" i="1" a="1"/>
  <c r="J1877" i="1" s="1"/>
  <c r="K1875" i="1" a="1"/>
  <c r="K1875" i="1" s="1"/>
  <c r="K1883" i="1" a="1"/>
  <c r="K1883" i="1" s="1"/>
  <c r="F1879" i="1" a="1"/>
  <c r="F1879" i="1" s="1"/>
  <c r="K1879" i="1" a="1"/>
  <c r="K1879" i="1" s="1"/>
  <c r="K1882" i="1" a="1"/>
  <c r="K1882" i="1" s="1"/>
  <c r="I1879" i="1" a="1"/>
  <c r="I1879" i="1" s="1"/>
  <c r="K1885" i="1" a="1"/>
  <c r="K1885" i="1" s="1"/>
  <c r="G1883" i="1" a="1"/>
  <c r="G1883" i="1" s="1"/>
  <c r="G1877" i="1" a="1"/>
  <c r="G1877" i="1" s="1"/>
  <c r="J1875" i="1" a="1"/>
  <c r="J1875" i="1" s="1"/>
  <c r="F1883" i="1" a="1"/>
  <c r="F1883" i="1" s="1"/>
  <c r="H1877" i="1" a="1"/>
  <c r="H1877" i="1" s="1"/>
  <c r="I1875" i="1" a="1"/>
  <c r="I1875" i="1" s="1"/>
  <c r="I1887" i="1" a="1"/>
  <c r="I1887" i="1" s="1"/>
  <c r="H1879" i="1" a="1"/>
  <c r="H1879" i="1" s="1"/>
  <c r="H1887" i="1" a="1"/>
  <c r="H1887" i="1" s="1"/>
  <c r="F1875" i="1" a="1"/>
  <c r="F1875" i="1" s="1"/>
  <c r="K1888" i="1" a="1"/>
  <c r="K1888" i="1" s="1"/>
  <c r="J1888" i="1" a="1"/>
  <c r="J1888" i="1" s="1"/>
  <c r="I1888" i="1" a="1"/>
  <c r="I1888" i="1" s="1"/>
  <c r="G1887" i="1" a="1"/>
  <c r="G1887" i="1" s="1"/>
  <c r="J1883" i="1" a="1"/>
  <c r="J1883" i="1" s="1"/>
  <c r="I1882" i="1" a="1"/>
  <c r="I1882" i="1" s="1"/>
  <c r="G1875" i="1" a="1"/>
  <c r="G1875" i="1" s="1"/>
  <c r="H1875" i="1" a="1"/>
  <c r="H1875" i="1" s="1"/>
  <c r="H1888" i="1" a="1"/>
  <c r="H1888" i="1" s="1"/>
  <c r="H1882" i="1" a="1"/>
  <c r="H1882" i="1" s="1"/>
  <c r="F1882" i="1" a="1"/>
  <c r="F1882" i="1" s="1"/>
  <c r="J1887" i="1" a="1"/>
  <c r="J1887" i="1" s="1"/>
  <c r="J1871" i="1" a="1"/>
  <c r="J1871" i="1" s="1"/>
  <c r="H1871" i="1" a="1"/>
  <c r="H1871" i="1" s="1"/>
  <c r="I1860" i="1" a="1"/>
  <c r="I1860" i="1" s="1"/>
  <c r="K1862" i="1" a="1"/>
  <c r="K1862" i="1" s="1"/>
  <c r="G1871" i="1" a="1"/>
  <c r="G1871" i="1" s="1"/>
  <c r="I1869" i="1" a="1"/>
  <c r="I1869" i="1" s="1"/>
  <c r="F1869" i="1" a="1"/>
  <c r="F1869" i="1" s="1"/>
  <c r="J1867" i="1" a="1"/>
  <c r="J1867" i="1" s="1"/>
  <c r="G1865" i="1" a="1"/>
  <c r="G1865" i="1" s="1"/>
  <c r="F1865" i="1" a="1"/>
  <c r="F1865" i="1" s="1"/>
  <c r="G1867" i="1" a="1"/>
  <c r="G1867" i="1" s="1"/>
  <c r="H1866" i="1" a="1"/>
  <c r="H1866" i="1" s="1"/>
  <c r="I1863" i="1" a="1"/>
  <c r="I1863" i="1" s="1"/>
  <c r="G1866" i="1" a="1"/>
  <c r="G1866" i="1" s="1"/>
  <c r="I1866" i="1" a="1"/>
  <c r="I1866" i="1" s="1"/>
  <c r="I1865" i="1" a="1"/>
  <c r="I1865" i="1" s="1"/>
  <c r="K1867" i="1" a="1"/>
  <c r="K1867" i="1" s="1"/>
  <c r="F1867" i="1" a="1"/>
  <c r="F1867" i="1" s="1"/>
  <c r="G1862" i="1" a="1"/>
  <c r="G1862" i="1" s="1"/>
  <c r="I1867" i="1" a="1"/>
  <c r="I1867" i="1" s="1"/>
  <c r="K1865" i="1" a="1"/>
  <c r="K1865" i="1" s="1"/>
  <c r="J1865" i="1" a="1"/>
  <c r="J1865" i="1" s="1"/>
  <c r="J1863" i="1" a="1"/>
  <c r="J1863" i="1" s="1"/>
  <c r="H1860" i="1" a="1"/>
  <c r="H1860" i="1" s="1"/>
  <c r="K1859" i="1" a="1"/>
  <c r="K1859" i="1" s="1"/>
  <c r="F1863" i="1" a="1"/>
  <c r="F1863" i="1" s="1"/>
  <c r="K1860" i="1" a="1"/>
  <c r="K1860" i="1" s="1"/>
  <c r="H1865" i="1" a="1"/>
  <c r="H1865" i="1" s="1"/>
  <c r="G1860" i="1" a="1"/>
  <c r="G1860" i="1" s="1"/>
  <c r="J1869" i="1" a="1"/>
  <c r="J1869" i="1" s="1"/>
  <c r="F1862" i="1" a="1"/>
  <c r="F1862" i="1" s="1"/>
  <c r="J1866" i="1" a="1"/>
  <c r="J1866" i="1" s="1"/>
  <c r="K1873" i="1" a="1"/>
  <c r="K1873" i="1" s="1"/>
  <c r="J1873" i="1" a="1"/>
  <c r="J1873" i="1" s="1"/>
  <c r="I1873" i="1" a="1"/>
  <c r="I1873" i="1" s="1"/>
  <c r="H1873" i="1" a="1"/>
  <c r="H1873" i="1" s="1"/>
  <c r="I1871" i="1" a="1"/>
  <c r="I1871" i="1" s="1"/>
  <c r="F1871" i="1" a="1"/>
  <c r="F1871" i="1" s="1"/>
  <c r="K1866" i="1" a="1"/>
  <c r="K1866" i="1" s="1"/>
  <c r="J1862" i="1" a="1"/>
  <c r="J1862" i="1" s="1"/>
  <c r="I1862" i="1" a="1"/>
  <c r="I1862" i="1" s="1"/>
  <c r="F1860" i="1" a="1"/>
  <c r="F1860" i="1" s="1"/>
  <c r="K1869" i="1" a="1"/>
  <c r="K1869" i="1" s="1"/>
  <c r="H1867" i="1" a="1"/>
  <c r="H1867" i="1" s="1"/>
  <c r="F1866" i="1" a="1"/>
  <c r="F1866" i="1" s="1"/>
  <c r="H1863" i="1" a="1"/>
  <c r="H1863" i="1" s="1"/>
  <c r="K1863" i="1" a="1"/>
  <c r="K1863" i="1" s="1"/>
  <c r="G1863" i="1" a="1"/>
  <c r="G1863" i="1" s="1"/>
  <c r="H1869" i="1" a="1"/>
  <c r="H1869" i="1" s="1"/>
  <c r="H1862" i="1" a="1"/>
  <c r="H1862" i="1" s="1"/>
  <c r="J1859" i="1" a="1"/>
  <c r="J1859" i="1" s="1"/>
  <c r="G1869" i="1" a="1"/>
  <c r="G1869" i="1" s="1"/>
  <c r="J1860" i="1" a="1"/>
  <c r="J1860" i="1" s="1"/>
  <c r="K1871" i="1" a="1"/>
  <c r="K1871" i="1" s="1"/>
  <c r="G1873" i="1" a="1"/>
  <c r="G1873" i="1" s="1"/>
  <c r="F1873" i="1" a="1"/>
  <c r="F1873" i="1" s="1"/>
  <c r="I1859" i="1" a="1"/>
  <c r="I1859" i="1" s="1"/>
  <c r="H1859" i="1" a="1"/>
  <c r="H1859" i="1" s="1"/>
  <c r="G1859" i="1" a="1"/>
  <c r="G1859" i="1" s="1"/>
  <c r="F1859" i="1" a="1"/>
  <c r="F1859" i="1" s="1"/>
  <c r="H1850" i="1" a="1"/>
  <c r="H1850" i="1" s="1"/>
  <c r="K1856" i="1" a="1"/>
  <c r="K1856" i="1" s="1"/>
  <c r="F1852" i="1" a="1"/>
  <c r="F1852" i="1" s="1"/>
  <c r="J1856" i="1" a="1"/>
  <c r="J1856" i="1" s="1"/>
  <c r="G1848" i="1" a="1"/>
  <c r="G1848" i="1" s="1"/>
  <c r="I1854" i="1" a="1"/>
  <c r="I1854" i="1" s="1"/>
  <c r="F1854" i="1" a="1"/>
  <c r="F1854" i="1" s="1"/>
  <c r="H1856" i="1" a="1"/>
  <c r="H1856" i="1" s="1"/>
  <c r="H1848" i="1" a="1"/>
  <c r="H1848" i="1" s="1"/>
  <c r="K1854" i="1" a="1"/>
  <c r="K1854" i="1" s="1"/>
  <c r="J1850" i="1" a="1"/>
  <c r="J1850" i="1" s="1"/>
  <c r="I1848" i="1" a="1"/>
  <c r="I1848" i="1" s="1"/>
  <c r="K1850" i="1" a="1"/>
  <c r="K1850" i="1" s="1"/>
  <c r="G1854" i="1" a="1"/>
  <c r="G1854" i="1" s="1"/>
  <c r="G1856" i="1" a="1"/>
  <c r="G1856" i="1" s="1"/>
  <c r="F1856" i="1" a="1"/>
  <c r="F1856" i="1" s="1"/>
  <c r="G1850" i="1" a="1"/>
  <c r="G1850" i="1" s="1"/>
  <c r="J1848" i="1" a="1"/>
  <c r="J1848" i="1"/>
  <c r="F1850" i="1" a="1"/>
  <c r="F1850" i="1"/>
  <c r="K1848" i="1" a="1"/>
  <c r="K1848" i="1"/>
  <c r="H1854" i="1" a="1"/>
  <c r="H1854" i="1"/>
  <c r="H1852" i="1" a="1"/>
  <c r="H1852" i="1" s="1"/>
  <c r="G1852" i="1" a="1"/>
  <c r="G1852" i="1" s="1"/>
  <c r="I1856" i="1" a="1"/>
  <c r="I1856" i="1" s="1"/>
  <c r="K1852" i="1" a="1"/>
  <c r="K1852" i="1" s="1"/>
  <c r="I1852" i="1" a="1"/>
  <c r="I1852" i="1" s="1"/>
  <c r="J1854" i="1" a="1"/>
  <c r="J1854" i="1"/>
  <c r="J1852" i="1" a="1"/>
  <c r="J1852" i="1" s="1"/>
  <c r="I1850" i="1" a="1"/>
  <c r="I1850" i="1" s="1"/>
  <c r="J1846" i="1" a="1"/>
  <c r="J1846" i="1" s="1"/>
  <c r="I1846" i="1" a="1"/>
  <c r="I1846" i="1" s="1"/>
  <c r="H1846" i="1" a="1"/>
  <c r="H1846" i="1" s="1"/>
  <c r="G1841" i="1" a="1"/>
  <c r="G1841" i="1" s="1"/>
  <c r="F1846" i="1" a="1"/>
  <c r="F1846" i="1" s="1"/>
  <c r="J1845" i="1" a="1"/>
  <c r="J1845" i="1" s="1"/>
  <c r="G1845" i="1" a="1"/>
  <c r="G1845" i="1"/>
  <c r="F1845" i="1" a="1"/>
  <c r="F1845" i="1" s="1"/>
  <c r="H1840" i="1" a="1"/>
  <c r="H1840" i="1" s="1"/>
  <c r="K1841" i="1" a="1"/>
  <c r="K1841" i="1"/>
  <c r="G1843" i="1" a="1"/>
  <c r="G1843" i="1"/>
  <c r="J1843" i="1" a="1"/>
  <c r="J1843" i="1"/>
  <c r="I1843" i="1" a="1"/>
  <c r="I1843" i="1"/>
  <c r="H1843" i="1" a="1"/>
  <c r="H1843" i="1" s="1"/>
  <c r="J1840" i="1" a="1"/>
  <c r="J1840" i="1" s="1"/>
  <c r="F1843" i="1" a="1"/>
  <c r="F1843" i="1" s="1"/>
  <c r="I1841" i="1" a="1"/>
  <c r="I1841" i="1" s="1"/>
  <c r="F1841" i="1" a="1"/>
  <c r="F1841" i="1" s="1"/>
  <c r="F1848" i="1" a="1"/>
  <c r="F1848" i="1" s="1"/>
  <c r="K1843" i="1" a="1"/>
  <c r="K1843" i="1" s="1"/>
  <c r="K1846" i="1" a="1"/>
  <c r="K1846" i="1" s="1"/>
  <c r="H1845" i="1" a="1"/>
  <c r="H1845" i="1" s="1"/>
  <c r="K1845" i="1" a="1"/>
  <c r="K1845" i="1" s="1"/>
  <c r="J1841" i="1" a="1"/>
  <c r="J1841" i="1" s="1"/>
  <c r="G1846" i="1" a="1"/>
  <c r="G1846" i="1" s="1"/>
  <c r="G1840" i="1" a="1"/>
  <c r="G1840" i="1" s="1"/>
  <c r="K1840" i="1" a="1"/>
  <c r="K1840" i="1" s="1"/>
  <c r="I1840" i="1" a="1"/>
  <c r="I1840" i="1" s="1"/>
  <c r="I1845" i="1" a="1"/>
  <c r="I1845" i="1" s="1"/>
  <c r="H1841" i="1" a="1"/>
  <c r="H1841" i="1" s="1"/>
  <c r="F1840" i="1" a="1"/>
  <c r="F1840" i="1" s="1"/>
  <c r="G1833" i="1" a="1"/>
  <c r="G1833" i="1" s="1"/>
  <c r="F1829" i="1" a="1"/>
  <c r="F1829" i="1" s="1"/>
  <c r="J1835" i="1" a="1"/>
  <c r="J1835" i="1" s="1"/>
  <c r="G1826" i="1" a="1"/>
  <c r="G1826" i="1" s="1"/>
  <c r="I1835" i="1" a="1"/>
  <c r="I1835" i="1" s="1"/>
  <c r="J1827" i="1" a="1"/>
  <c r="J1827" i="1" s="1"/>
  <c r="H1829" i="1" a="1"/>
  <c r="H1829" i="1" s="1"/>
  <c r="I1829" i="1" a="1"/>
  <c r="I1829" i="1" s="1"/>
  <c r="J1831" i="1" a="1"/>
  <c r="J1831" i="1" s="1"/>
  <c r="K1829" i="1" a="1"/>
  <c r="K1829" i="1" s="1"/>
  <c r="G1827" i="1" a="1"/>
  <c r="G1827" i="1" s="1"/>
  <c r="J1826" i="1" a="1"/>
  <c r="J1826" i="1" s="1"/>
  <c r="H1837" i="1" a="1"/>
  <c r="H1837" i="1" s="1"/>
  <c r="I1827" i="1" a="1"/>
  <c r="I1827" i="1" s="1"/>
  <c r="K1833" i="1" a="1"/>
  <c r="K1833" i="1" s="1"/>
  <c r="I1826" i="1" a="1"/>
  <c r="I1826" i="1" s="1"/>
  <c r="J1837" i="1" a="1"/>
  <c r="J1837" i="1" s="1"/>
  <c r="K1835" i="1" a="1"/>
  <c r="K1835" i="1" s="1"/>
  <c r="H1835" i="1" a="1"/>
  <c r="H1835" i="1" s="1"/>
  <c r="K1826" i="1" a="1"/>
  <c r="K1826" i="1" s="1"/>
  <c r="F1835" i="1" a="1"/>
  <c r="F1835" i="1" s="1"/>
  <c r="G1831" i="1" a="1"/>
  <c r="G1831" i="1" s="1"/>
  <c r="H1826" i="1" a="1"/>
  <c r="H1826" i="1" s="1"/>
  <c r="K1831" i="1" a="1"/>
  <c r="K1831" i="1" s="1"/>
  <c r="K1827" i="1" a="1"/>
  <c r="K1827" i="1" s="1"/>
  <c r="F1837" i="1" a="1"/>
  <c r="F1837" i="1" s="1"/>
  <c r="H1827" i="1" a="1"/>
  <c r="H1827" i="1" s="1"/>
  <c r="H1833" i="1" a="1"/>
  <c r="H1833" i="1" s="1"/>
  <c r="F1831" i="1" a="1"/>
  <c r="F1831" i="1" s="1"/>
  <c r="K1837" i="1" a="1"/>
  <c r="K1837" i="1" s="1"/>
  <c r="I1833" i="1" a="1"/>
  <c r="I1833" i="1" s="1"/>
  <c r="G1835" i="1" a="1"/>
  <c r="G1835" i="1" s="1"/>
  <c r="F1827" i="1" a="1"/>
  <c r="F1827" i="1" s="1"/>
  <c r="G1829" i="1" a="1"/>
  <c r="G1829" i="1" s="1"/>
  <c r="J1829" i="1" a="1"/>
  <c r="J1829" i="1" s="1"/>
  <c r="K1824" i="1" a="1"/>
  <c r="K1824" i="1" s="1"/>
  <c r="I1837" i="1" a="1"/>
  <c r="I1837" i="1" s="1"/>
  <c r="G1837" i="1" a="1"/>
  <c r="G1837" i="1" s="1"/>
  <c r="J1833" i="1" a="1"/>
  <c r="J1833" i="1" s="1"/>
  <c r="F1833" i="1" a="1"/>
  <c r="F1833" i="1" s="1"/>
  <c r="I1831" i="1" a="1"/>
  <c r="I1831" i="1" s="1"/>
  <c r="H1831" i="1" a="1"/>
  <c r="H1831" i="1" s="1"/>
  <c r="F1826" i="1" a="1"/>
  <c r="F1826" i="1" s="1"/>
  <c r="I1822" i="1" a="1"/>
  <c r="I1822" i="1" s="1"/>
  <c r="F1822" i="1" a="1"/>
  <c r="F1822" i="1" s="1"/>
  <c r="G1821" i="1" a="1"/>
  <c r="G1821" i="1" s="1"/>
  <c r="H1822" i="1" a="1"/>
  <c r="H1822" i="1" s="1"/>
  <c r="J1824" i="1" a="1"/>
  <c r="J1824" i="1" s="1"/>
  <c r="H1824" i="1" a="1"/>
  <c r="H1824" i="1" s="1"/>
  <c r="G1824" i="1" a="1"/>
  <c r="G1824" i="1" s="1"/>
  <c r="G1822" i="1" a="1"/>
  <c r="G1822" i="1" s="1"/>
  <c r="I1821" i="1" a="1"/>
  <c r="I1821" i="1" s="1"/>
  <c r="H1821" i="1" a="1"/>
  <c r="H1821" i="1" s="1"/>
  <c r="I1824" i="1" a="1"/>
  <c r="I1824" i="1" s="1"/>
  <c r="J1821" i="1" a="1"/>
  <c r="J1821" i="1" s="1"/>
  <c r="F1824" i="1" a="1"/>
  <c r="F1824" i="1" s="1"/>
  <c r="K1822" i="1" a="1"/>
  <c r="K1822" i="1" s="1"/>
  <c r="J1822" i="1" a="1"/>
  <c r="J1822" i="1" s="1"/>
  <c r="K1821" i="1" a="1"/>
  <c r="K1821" i="1" s="1"/>
  <c r="F1821" i="1" a="1"/>
  <c r="F1821" i="1" s="1"/>
  <c r="G1039" i="1" a="1"/>
  <c r="G1039" i="1" s="1"/>
  <c r="H1037" i="1" a="1"/>
  <c r="H1037" i="1" s="1"/>
  <c r="I1030" i="1" a="1"/>
  <c r="I1030" i="1" s="1"/>
  <c r="G1037" i="1" a="1"/>
  <c r="G1037" i="1" s="1"/>
  <c r="J1039" i="1" a="1"/>
  <c r="J1039" i="1" s="1"/>
  <c r="H1039" i="1" a="1"/>
  <c r="H1039" i="1" s="1"/>
  <c r="F1030" i="1" a="1"/>
  <c r="F1030" i="1" s="1"/>
  <c r="K1030" i="1" a="1"/>
  <c r="K1030" i="1" s="1"/>
  <c r="H1030" i="1" a="1"/>
  <c r="H1030" i="1" s="1"/>
  <c r="F1037" i="1" a="1"/>
  <c r="F1037" i="1" s="1"/>
  <c r="F1039" i="1" a="1"/>
  <c r="F1039" i="1" s="1"/>
  <c r="I1039" i="1" a="1"/>
  <c r="I1039" i="1" s="1"/>
  <c r="K1037" i="1" a="1"/>
  <c r="K1037" i="1" s="1"/>
  <c r="G1030" i="1" a="1"/>
  <c r="G1030" i="1" s="1"/>
  <c r="J1030" i="1" a="1"/>
  <c r="J1030" i="1" s="1"/>
  <c r="K1039" i="1" a="1"/>
  <c r="K1039" i="1" s="1"/>
  <c r="J1037" i="1" a="1"/>
  <c r="J1037" i="1" s="1"/>
  <c r="I1037" i="1" a="1"/>
  <c r="I1037" i="1" s="1"/>
  <c r="G997" i="1" a="1"/>
  <c r="G997" i="1" s="1"/>
  <c r="G1049" i="1" s="1" a="1"/>
  <c r="G1049" i="1" s="1"/>
  <c r="G1006" i="1" a="1"/>
  <c r="G1006" i="1" s="1"/>
  <c r="G1052" i="1" s="1" a="1"/>
  <c r="G1052" i="1" s="1"/>
  <c r="H996" i="1" a="1"/>
  <c r="H996" i="1" s="1"/>
  <c r="K997" i="1" a="1"/>
  <c r="K997" i="1" s="1"/>
  <c r="K1049" i="1" s="1" a="1"/>
  <c r="K1049" i="1" s="1"/>
  <c r="J997" i="1" a="1"/>
  <c r="J997" i="1" s="1"/>
  <c r="J1049" i="1" s="1" a="1"/>
  <c r="J1049" i="1" s="1"/>
  <c r="I996" i="1" a="1"/>
  <c r="I996" i="1" s="1"/>
  <c r="H1006" i="1" a="1"/>
  <c r="H1006" i="1" s="1"/>
  <c r="H1052" i="1" s="1" a="1"/>
  <c r="H1052" i="1" s="1"/>
  <c r="K1022" i="1" a="1"/>
  <c r="K1022" i="1" s="1"/>
  <c r="F1006" i="1" a="1"/>
  <c r="F1006" i="1" s="1"/>
  <c r="F1052" i="1" s="1" a="1"/>
  <c r="F1052" i="1" s="1"/>
  <c r="K1027" i="1" a="1"/>
  <c r="K1027" i="1" s="1"/>
  <c r="J1027" i="1" a="1"/>
  <c r="J1027" i="1" s="1"/>
  <c r="I1027" i="1" a="1"/>
  <c r="I1027" i="1" s="1"/>
  <c r="H1027" i="1" a="1"/>
  <c r="H1027" i="1" s="1"/>
  <c r="I1022" i="1" a="1"/>
  <c r="I1022" i="1" s="1"/>
  <c r="G1022" i="1" a="1"/>
  <c r="G1022" i="1" s="1"/>
  <c r="I1006" i="1" a="1"/>
  <c r="I1006" i="1" s="1"/>
  <c r="I1052" i="1" s="1" a="1"/>
  <c r="I1052" i="1" s="1"/>
  <c r="J1022" i="1" a="1"/>
  <c r="J1022" i="1" s="1"/>
  <c r="J996" i="1" a="1"/>
  <c r="J996" i="1" s="1"/>
  <c r="F1022" i="1" a="1"/>
  <c r="F1022" i="1" s="1"/>
  <c r="K1006" i="1" a="1"/>
  <c r="K1006" i="1" s="1"/>
  <c r="K1052" i="1" s="1" a="1"/>
  <c r="K1052" i="1" s="1"/>
  <c r="K996" i="1" a="1"/>
  <c r="K996" i="1" s="1"/>
  <c r="G1027" i="1" a="1"/>
  <c r="G1027" i="1" s="1"/>
  <c r="F997" i="1" a="1"/>
  <c r="F997" i="1" s="1"/>
  <c r="F1049" i="1" s="1" a="1"/>
  <c r="F1049" i="1" s="1"/>
  <c r="G1025" i="1" a="1"/>
  <c r="G1025" i="1" s="1"/>
  <c r="J1006" i="1" a="1"/>
  <c r="J1006" i="1" s="1"/>
  <c r="J1052" i="1" s="1" a="1"/>
  <c r="J1052" i="1" s="1"/>
  <c r="H1025" i="1" a="1"/>
  <c r="H1025" i="1" s="1"/>
  <c r="H1022" i="1" a="1"/>
  <c r="H1022" i="1" s="1"/>
  <c r="H997" i="1" a="1"/>
  <c r="H997" i="1" s="1"/>
  <c r="H1049" i="1" s="1" a="1"/>
  <c r="H1049" i="1" s="1"/>
  <c r="F1027" i="1" a="1"/>
  <c r="F1027" i="1" s="1"/>
  <c r="K1025" i="1" a="1"/>
  <c r="K1025" i="1" s="1"/>
  <c r="J1025" i="1" a="1"/>
  <c r="J1025" i="1" s="1"/>
  <c r="I1025" i="1" a="1"/>
  <c r="I1025" i="1" s="1"/>
  <c r="I997" i="1" a="1"/>
  <c r="I997" i="1" s="1"/>
  <c r="I1049" i="1" s="1" a="1"/>
  <c r="I1049" i="1" s="1"/>
  <c r="F1025" i="1" a="1"/>
  <c r="F1025" i="1" s="1"/>
  <c r="I977" i="1" a="1"/>
  <c r="I977" i="1" s="1"/>
  <c r="I1051" i="1" s="1" a="1"/>
  <c r="I1051" i="1" s="1"/>
  <c r="F977" i="1" a="1"/>
  <c r="F977" i="1" s="1"/>
  <c r="F1051" i="1" s="1" a="1"/>
  <c r="F1051" i="1" s="1"/>
  <c r="F974" i="1" a="1"/>
  <c r="F974" i="1" s="1"/>
  <c r="F989" i="1" a="1"/>
  <c r="F989" i="1" s="1"/>
  <c r="J983" i="1" a="1"/>
  <c r="J983" i="1" s="1"/>
  <c r="I983" i="1" a="1"/>
  <c r="I983" i="1" s="1"/>
  <c r="F983" i="1" a="1"/>
  <c r="F983" i="1" s="1"/>
  <c r="H983" i="1" a="1"/>
  <c r="H983" i="1" s="1"/>
  <c r="I974" i="1" a="1"/>
  <c r="I974" i="1" s="1"/>
  <c r="K976" i="1" a="1"/>
  <c r="K976" i="1" s="1"/>
  <c r="I976" i="1" a="1"/>
  <c r="I976" i="1" s="1"/>
  <c r="G976" i="1" a="1"/>
  <c r="G976" i="1" s="1"/>
  <c r="J977" i="1" a="1"/>
  <c r="J977" i="1" s="1"/>
  <c r="J1051" i="1" s="1" a="1"/>
  <c r="J1051" i="1" s="1"/>
  <c r="H977" i="1" a="1"/>
  <c r="H977" i="1" s="1"/>
  <c r="H1051" i="1" s="1" a="1"/>
  <c r="H1051" i="1" s="1"/>
  <c r="G977" i="1" a="1"/>
  <c r="G977" i="1" s="1"/>
  <c r="G1051" i="1" s="1" a="1"/>
  <c r="G1051" i="1" s="1"/>
  <c r="J976" i="1" a="1"/>
  <c r="J976" i="1" s="1"/>
  <c r="G974" i="1" a="1"/>
  <c r="G974" i="1" s="1"/>
  <c r="I973" i="1" a="1"/>
  <c r="I973" i="1" s="1"/>
  <c r="H973" i="1" a="1"/>
  <c r="H973" i="1" s="1"/>
  <c r="F976" i="1" a="1"/>
  <c r="F976" i="1" s="1"/>
  <c r="J974" i="1" a="1"/>
  <c r="J974" i="1" s="1"/>
  <c r="J973" i="1" a="1"/>
  <c r="J973" i="1" s="1"/>
  <c r="G983" i="1" a="1"/>
  <c r="G983" i="1" s="1"/>
  <c r="G973" i="1" a="1"/>
  <c r="G973" i="1" s="1"/>
  <c r="K977" i="1" a="1"/>
  <c r="K977" i="1" s="1"/>
  <c r="K1051" i="1" s="1" a="1"/>
  <c r="K1051" i="1" s="1"/>
  <c r="H974" i="1" a="1"/>
  <c r="H974" i="1" s="1"/>
  <c r="K973" i="1" a="1"/>
  <c r="K973" i="1" s="1"/>
  <c r="H989" i="1" a="1"/>
  <c r="H989" i="1" s="1"/>
  <c r="H976" i="1" a="1"/>
  <c r="H976" i="1" s="1"/>
  <c r="F973" i="1" a="1"/>
  <c r="F973" i="1" s="1"/>
  <c r="G996" i="1" a="1"/>
  <c r="G996" i="1" s="1"/>
  <c r="F996" i="1" a="1"/>
  <c r="F996" i="1" s="1"/>
  <c r="K989" i="1" a="1"/>
  <c r="K989" i="1" s="1"/>
  <c r="K974" i="1" a="1"/>
  <c r="K974" i="1" s="1"/>
  <c r="J989" i="1" a="1"/>
  <c r="J989" i="1" s="1"/>
  <c r="I989" i="1" a="1"/>
  <c r="I989" i="1" s="1"/>
  <c r="G989" i="1" a="1"/>
  <c r="G989" i="1" s="1"/>
  <c r="K983" i="1" a="1"/>
  <c r="K983" i="1" s="1"/>
  <c r="H894" i="1" a="1"/>
  <c r="H894" i="1" s="1"/>
  <c r="H914" i="1" a="1"/>
  <c r="H914" i="1" s="1"/>
  <c r="F912" i="1" a="1"/>
  <c r="F912" i="1" s="1"/>
  <c r="K912" i="1" a="1"/>
  <c r="K912" i="1" s="1"/>
  <c r="J912" i="1" a="1"/>
  <c r="J912" i="1" s="1"/>
  <c r="I914" i="1" a="1"/>
  <c r="I914" i="1" s="1"/>
  <c r="I894" i="1" a="1"/>
  <c r="I894" i="1" s="1"/>
  <c r="I923" i="1" s="1"/>
  <c r="I922" i="1" s="1"/>
  <c r="K926" i="1" a="1"/>
  <c r="K926" i="1" s="1"/>
  <c r="I926" i="1" a="1"/>
  <c r="I926" i="1" s="1"/>
  <c r="H926" i="1" a="1"/>
  <c r="H926" i="1" s="1"/>
  <c r="G926" i="1" a="1"/>
  <c r="G926" i="1" s="1"/>
  <c r="K894" i="1" a="1"/>
  <c r="K894" i="1" s="1"/>
  <c r="K900" i="1" s="1"/>
  <c r="G914" i="1" a="1"/>
  <c r="G914" i="1" s="1"/>
  <c r="G912" i="1" a="1"/>
  <c r="G912" i="1" s="1"/>
  <c r="J914" i="1" a="1"/>
  <c r="J914" i="1" s="1"/>
  <c r="G894" i="1" a="1"/>
  <c r="G894" i="1" s="1"/>
  <c r="G901" i="1" s="1"/>
  <c r="K914" i="1" a="1"/>
  <c r="K914" i="1" s="1"/>
  <c r="F914" i="1" a="1"/>
  <c r="F914" i="1" s="1"/>
  <c r="H912" i="1" a="1"/>
  <c r="H912" i="1" s="1"/>
  <c r="I912" i="1" a="1"/>
  <c r="I912" i="1" s="1"/>
  <c r="J894" i="1" a="1"/>
  <c r="J894" i="1" s="1"/>
  <c r="F926" i="1" a="1"/>
  <c r="F926" i="1" s="1"/>
  <c r="J926" i="1" a="1"/>
  <c r="J926" i="1" s="1"/>
  <c r="F894" i="1" a="1"/>
  <c r="F894" i="1" s="1"/>
  <c r="J882" i="1" a="1"/>
  <c r="J882" i="1" s="1"/>
  <c r="G883" i="1" a="1"/>
  <c r="G883" i="1" s="1"/>
  <c r="I883" i="1" a="1"/>
  <c r="I883" i="1" s="1"/>
  <c r="F882" i="1" a="1"/>
  <c r="F882" i="1" s="1"/>
  <c r="J883" i="1" a="1"/>
  <c r="J883" i="1" s="1"/>
  <c r="K883" i="1" a="1"/>
  <c r="K883" i="1" s="1"/>
  <c r="H883" i="1" a="1"/>
  <c r="H883" i="1" s="1"/>
  <c r="F883" i="1" a="1"/>
  <c r="F883" i="1" s="1"/>
  <c r="K882" i="1" a="1"/>
  <c r="K882" i="1" s="1"/>
  <c r="I882" i="1" a="1"/>
  <c r="I882" i="1" s="1"/>
  <c r="H882" i="1" a="1"/>
  <c r="H882" i="1" s="1"/>
  <c r="G882" i="1" a="1"/>
  <c r="G882" i="1" s="1"/>
  <c r="H800" i="1" a="1"/>
  <c r="H800" i="1" s="1"/>
  <c r="J778" i="1" a="1"/>
  <c r="J778" i="1" s="1"/>
  <c r="J777" i="1" s="1"/>
  <c r="J804" i="1" a="1"/>
  <c r="J804" i="1" s="1"/>
  <c r="I802" i="1" a="1"/>
  <c r="I802" i="1" s="1"/>
  <c r="I804" i="1" a="1"/>
  <c r="I804" i="1" s="1"/>
  <c r="F804" i="1" a="1"/>
  <c r="F804" i="1" s="1"/>
  <c r="F800" i="1" a="1"/>
  <c r="F800" i="1" s="1"/>
  <c r="K800" i="1" a="1"/>
  <c r="K800" i="1" s="1"/>
  <c r="I800" i="1" a="1"/>
  <c r="I800" i="1" s="1"/>
  <c r="K778" i="1" a="1"/>
  <c r="K778" i="1" s="1"/>
  <c r="K777" i="1" s="1"/>
  <c r="H778" i="1" a="1"/>
  <c r="H778" i="1" s="1"/>
  <c r="H777" i="1" s="1"/>
  <c r="G778" i="1" a="1"/>
  <c r="G778" i="1" s="1"/>
  <c r="G777" i="1" s="1"/>
  <c r="F778" i="1" a="1"/>
  <c r="F778" i="1" s="1"/>
  <c r="F777" i="1" s="1"/>
  <c r="F784" i="1" s="1"/>
  <c r="F785" i="1" s="1"/>
  <c r="K802" i="1" a="1"/>
  <c r="K802" i="1" s="1"/>
  <c r="H804" i="1" a="1"/>
  <c r="H804" i="1" s="1"/>
  <c r="G804" i="1" a="1"/>
  <c r="G804" i="1" s="1"/>
  <c r="G802" i="1" a="1"/>
  <c r="G802" i="1" s="1"/>
  <c r="I778" i="1" a="1"/>
  <c r="I778" i="1" s="1"/>
  <c r="I777" i="1" s="1"/>
  <c r="H802" i="1" a="1"/>
  <c r="H802" i="1" s="1"/>
  <c r="G800" i="1" a="1"/>
  <c r="G800" i="1" s="1"/>
  <c r="J800" i="1" a="1"/>
  <c r="J800" i="1" s="1"/>
  <c r="F802" i="1" a="1"/>
  <c r="F802" i="1" s="1"/>
  <c r="K804" i="1" a="1"/>
  <c r="K804" i="1" s="1"/>
  <c r="J802" i="1" a="1"/>
  <c r="J802" i="1" s="1"/>
  <c r="H764" i="1" a="1"/>
  <c r="H764" i="1" s="1"/>
  <c r="H814" i="1" s="1" a="1"/>
  <c r="H814" i="1" s="1"/>
  <c r="G764" i="1" a="1"/>
  <c r="G764" i="1" s="1"/>
  <c r="G814" i="1" s="1" a="1"/>
  <c r="G814" i="1" s="1"/>
  <c r="K764" i="1" a="1"/>
  <c r="K764" i="1" s="1"/>
  <c r="K814" i="1" s="1" a="1"/>
  <c r="K814" i="1" s="1"/>
  <c r="F764" i="1" a="1"/>
  <c r="F764" i="1" s="1"/>
  <c r="F814" i="1" s="1" a="1"/>
  <c r="F814" i="1" s="1"/>
  <c r="J764" i="1" a="1"/>
  <c r="J764" i="1" s="1"/>
  <c r="J814" i="1" s="1" a="1"/>
  <c r="J814" i="1" s="1"/>
  <c r="I764" i="1" a="1"/>
  <c r="I764" i="1" s="1"/>
  <c r="I814" i="1" s="1" a="1"/>
  <c r="I814" i="1" s="1"/>
  <c r="K854" i="1"/>
  <c r="J854" i="1"/>
  <c r="I854" i="1"/>
  <c r="H854" i="1"/>
  <c r="H853" i="1" s="1"/>
  <c r="G854" i="1"/>
  <c r="G853" i="1" s="1"/>
  <c r="F854" i="1"/>
  <c r="K853" i="1"/>
  <c r="J853" i="1"/>
  <c r="I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J673" i="1" s="1"/>
  <c r="I667" i="1"/>
  <c r="I673" i="1" s="1"/>
  <c r="H667" i="1"/>
  <c r="H673" i="1" s="1"/>
  <c r="G667" i="1"/>
  <c r="G673" i="1" s="1"/>
  <c r="F667" i="1"/>
  <c r="F673" i="1" s="1"/>
  <c r="K666" i="1"/>
  <c r="K672" i="1" s="1"/>
  <c r="J666" i="1"/>
  <c r="J672" i="1" s="1"/>
  <c r="I666" i="1"/>
  <c r="I672" i="1" s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F517" i="1"/>
  <c r="K503" i="1"/>
  <c r="J503" i="1"/>
  <c r="I503" i="1"/>
  <c r="H503" i="1"/>
  <c r="G503" i="1"/>
  <c r="F503" i="1"/>
  <c r="J47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F437" i="1"/>
  <c r="K411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J397" i="1"/>
  <c r="J51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I384" i="1"/>
  <c r="I515" i="1" s="1"/>
  <c r="F384" i="1"/>
  <c r="F515" i="1" s="1"/>
  <c r="J383" i="1"/>
  <c r="J514" i="1" s="1"/>
  <c r="I383" i="1"/>
  <c r="I514" i="1" s="1"/>
  <c r="H383" i="1"/>
  <c r="H514" i="1" s="1"/>
  <c r="K382" i="1"/>
  <c r="K513" i="1" s="1"/>
  <c r="K379" i="1"/>
  <c r="J379" i="1"/>
  <c r="I379" i="1"/>
  <c r="H379" i="1"/>
  <c r="G379" i="1"/>
  <c r="F379" i="1"/>
  <c r="I378" i="1"/>
  <c r="I435" i="1" s="1"/>
  <c r="H378" i="1"/>
  <c r="H435" i="1" s="1"/>
  <c r="G362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H322" i="1"/>
  <c r="H477" i="1" s="1"/>
  <c r="G322" i="1"/>
  <c r="G477" i="1" s="1"/>
  <c r="J321" i="1"/>
  <c r="J476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F287" i="1"/>
  <c r="K285" i="1"/>
  <c r="J285" i="1"/>
  <c r="I285" i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G283" i="1"/>
  <c r="F283" i="1"/>
  <c r="K248" i="1"/>
  <c r="J248" i="1"/>
  <c r="I248" i="1"/>
  <c r="H248" i="1"/>
  <c r="G248" i="1"/>
  <c r="F248" i="1"/>
  <c r="K247" i="1"/>
  <c r="J247" i="1"/>
  <c r="I247" i="1"/>
  <c r="H247" i="1"/>
  <c r="G247" i="1"/>
  <c r="F247" i="1"/>
  <c r="K246" i="1"/>
  <c r="J246" i="1"/>
  <c r="I246" i="1"/>
  <c r="H246" i="1"/>
  <c r="G246" i="1"/>
  <c r="F246" i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I214" i="1"/>
  <c r="H214" i="1"/>
  <c r="H210" i="1" s="1"/>
  <c r="G214" i="1"/>
  <c r="G210" i="1" s="1"/>
  <c r="F214" i="1"/>
  <c r="K210" i="1"/>
  <c r="J210" i="1"/>
  <c r="I210" i="1"/>
  <c r="F210" i="1"/>
  <c r="K207" i="1"/>
  <c r="J207" i="1"/>
  <c r="I207" i="1"/>
  <c r="H207" i="1"/>
  <c r="G207" i="1"/>
  <c r="F207" i="1"/>
  <c r="K205" i="1"/>
  <c r="J205" i="1"/>
  <c r="I205" i="1"/>
  <c r="H205" i="1"/>
  <c r="G205" i="1"/>
  <c r="F205" i="1"/>
  <c r="K188" i="1"/>
  <c r="J188" i="1"/>
  <c r="I188" i="1"/>
  <c r="H188" i="1"/>
  <c r="G188" i="1"/>
  <c r="F188" i="1"/>
  <c r="K187" i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K398" i="1" s="1"/>
  <c r="K518" i="1" s="1"/>
  <c r="J170" i="1"/>
  <c r="J398" i="1" s="1"/>
  <c r="J518" i="1" s="1"/>
  <c r="I170" i="1"/>
  <c r="H170" i="1"/>
  <c r="H398" i="1" s="1"/>
  <c r="H518" i="1" s="1"/>
  <c r="G170" i="1"/>
  <c r="G398" i="1" s="1"/>
  <c r="G518" i="1" s="1"/>
  <c r="F170" i="1"/>
  <c r="F398" i="1" s="1"/>
  <c r="F518" i="1" s="1"/>
  <c r="K169" i="1"/>
  <c r="K397" i="1" s="1"/>
  <c r="K517" i="1" s="1"/>
  <c r="J169" i="1"/>
  <c r="I169" i="1"/>
  <c r="H169" i="1"/>
  <c r="H397" i="1" s="1"/>
  <c r="H517" i="1" s="1"/>
  <c r="G169" i="1"/>
  <c r="G397" i="1" s="1"/>
  <c r="G517" i="1" s="1"/>
  <c r="F169" i="1"/>
  <c r="F397" i="1" s="1"/>
  <c r="K168" i="1"/>
  <c r="K396" i="1" s="1"/>
  <c r="K437" i="1" s="1"/>
  <c r="J168" i="1"/>
  <c r="J396" i="1" s="1"/>
  <c r="J437" i="1" s="1"/>
  <c r="I168" i="1"/>
  <c r="I396" i="1" s="1"/>
  <c r="I437" i="1" s="1"/>
  <c r="H168" i="1"/>
  <c r="H396" i="1" s="1"/>
  <c r="H437" i="1" s="1"/>
  <c r="G168" i="1"/>
  <c r="G396" i="1" s="1"/>
  <c r="G437" i="1" s="1"/>
  <c r="F168" i="1"/>
  <c r="F396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J384" i="1" s="1"/>
  <c r="J515" i="1" s="1"/>
  <c r="I156" i="1"/>
  <c r="H156" i="1"/>
  <c r="H384" i="1" s="1"/>
  <c r="H515" i="1" s="1"/>
  <c r="G156" i="1"/>
  <c r="F156" i="1"/>
  <c r="K155" i="1"/>
  <c r="K383" i="1" s="1"/>
  <c r="K514" i="1" s="1"/>
  <c r="J155" i="1"/>
  <c r="I155" i="1"/>
  <c r="H155" i="1"/>
  <c r="G155" i="1"/>
  <c r="G383" i="1" s="1"/>
  <c r="G514" i="1" s="1"/>
  <c r="F155" i="1"/>
  <c r="K154" i="1"/>
  <c r="J154" i="1"/>
  <c r="J382" i="1" s="1"/>
  <c r="J513" i="1" s="1"/>
  <c r="I154" i="1"/>
  <c r="I382" i="1" s="1"/>
  <c r="I513" i="1" s="1"/>
  <c r="H154" i="1"/>
  <c r="H382" i="1" s="1"/>
  <c r="H513" i="1" s="1"/>
  <c r="G154" i="1"/>
  <c r="G382" i="1" s="1"/>
  <c r="G513" i="1" s="1"/>
  <c r="F154" i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K378" i="1" s="1"/>
  <c r="K435" i="1" s="1"/>
  <c r="J150" i="1"/>
  <c r="I150" i="1"/>
  <c r="H150" i="1"/>
  <c r="G150" i="1"/>
  <c r="G378" i="1" s="1"/>
  <c r="G435" i="1" s="1"/>
  <c r="F150" i="1"/>
  <c r="F378" i="1" s="1"/>
  <c r="F435" i="1" s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J138" i="1" s="1" a="1"/>
  <c r="J138" i="1" s="1"/>
  <c r="I131" i="1"/>
  <c r="H131" i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K95" i="1"/>
  <c r="J95" i="1"/>
  <c r="J127" i="1" s="1"/>
  <c r="I95" i="1"/>
  <c r="I127" i="1" s="1"/>
  <c r="H95" i="1"/>
  <c r="H127" i="1" s="1"/>
  <c r="G95" i="1"/>
  <c r="G127" i="1" s="1"/>
  <c r="F95" i="1"/>
  <c r="F323" i="1" s="1"/>
  <c r="F478" i="1" s="1"/>
  <c r="K94" i="1"/>
  <c r="K322" i="1" s="1"/>
  <c r="K477" i="1" s="1"/>
  <c r="J94" i="1"/>
  <c r="J126" i="1" s="1"/>
  <c r="I94" i="1"/>
  <c r="H94" i="1"/>
  <c r="H126" i="1" s="1"/>
  <c r="G94" i="1"/>
  <c r="G126" i="1" s="1"/>
  <c r="F94" i="1"/>
  <c r="F126" i="1" s="1"/>
  <c r="K93" i="1"/>
  <c r="K321" i="1" s="1"/>
  <c r="K476" i="1" s="1"/>
  <c r="J93" i="1"/>
  <c r="I93" i="1"/>
  <c r="H93" i="1"/>
  <c r="G93" i="1"/>
  <c r="G321" i="1" s="1"/>
  <c r="G476" i="1" s="1"/>
  <c r="F93" i="1"/>
  <c r="K92" i="1"/>
  <c r="J92" i="1"/>
  <c r="J124" i="1" s="1"/>
  <c r="I92" i="1"/>
  <c r="H92" i="1"/>
  <c r="H124" i="1" s="1"/>
  <c r="G92" i="1"/>
  <c r="F92" i="1"/>
  <c r="K91" i="1"/>
  <c r="K123" i="1" s="1"/>
  <c r="J91" i="1"/>
  <c r="I91" i="1"/>
  <c r="H91" i="1"/>
  <c r="G91" i="1"/>
  <c r="F91" i="1"/>
  <c r="F123" i="1" s="1"/>
  <c r="K90" i="1"/>
  <c r="J90" i="1"/>
  <c r="J318" i="1" s="1"/>
  <c r="I90" i="1"/>
  <c r="H90" i="1"/>
  <c r="G90" i="1"/>
  <c r="F90" i="1"/>
  <c r="K89" i="1"/>
  <c r="J89" i="1"/>
  <c r="I89" i="1"/>
  <c r="I317" i="1" s="1"/>
  <c r="I472" i="1" s="1"/>
  <c r="H89" i="1"/>
  <c r="H121" i="1" s="1"/>
  <c r="G89" i="1"/>
  <c r="F89" i="1"/>
  <c r="K88" i="1"/>
  <c r="K316" i="1" s="1"/>
  <c r="K471" i="1" s="1"/>
  <c r="J88" i="1"/>
  <c r="J120" i="1" s="1"/>
  <c r="I88" i="1"/>
  <c r="I120" i="1" s="1"/>
  <c r="H88" i="1"/>
  <c r="G88" i="1"/>
  <c r="F88" i="1"/>
  <c r="F120" i="1" s="1"/>
  <c r="K87" i="1"/>
  <c r="K119" i="1" s="1"/>
  <c r="J87" i="1"/>
  <c r="J119" i="1" s="1"/>
  <c r="I87" i="1"/>
  <c r="I119" i="1" s="1"/>
  <c r="H87" i="1"/>
  <c r="G87" i="1"/>
  <c r="G119" i="1" s="1"/>
  <c r="F87" i="1"/>
  <c r="K86" i="1"/>
  <c r="K118" i="1" s="1"/>
  <c r="J86" i="1"/>
  <c r="J118" i="1" s="1"/>
  <c r="I86" i="1"/>
  <c r="H86" i="1"/>
  <c r="H118" i="1" s="1"/>
  <c r="G86" i="1"/>
  <c r="F86" i="1"/>
  <c r="F118" i="1" s="1"/>
  <c r="K85" i="1"/>
  <c r="J85" i="1"/>
  <c r="J117" i="1" s="1"/>
  <c r="I85" i="1"/>
  <c r="H85" i="1"/>
  <c r="G85" i="1"/>
  <c r="G117" i="1" s="1"/>
  <c r="F85" i="1"/>
  <c r="F117" i="1" s="1"/>
  <c r="K84" i="1"/>
  <c r="K312" i="1" s="1"/>
  <c r="K417" i="1" s="1"/>
  <c r="J84" i="1"/>
  <c r="J312" i="1" s="1"/>
  <c r="J417" i="1" s="1"/>
  <c r="I84" i="1"/>
  <c r="I116" i="1" s="1"/>
  <c r="H84" i="1"/>
  <c r="G84" i="1"/>
  <c r="F84" i="1"/>
  <c r="K83" i="1"/>
  <c r="K115" i="1" s="1"/>
  <c r="J83" i="1"/>
  <c r="J115" i="1" s="1"/>
  <c r="I83" i="1"/>
  <c r="I115" i="1" s="1"/>
  <c r="H83" i="1"/>
  <c r="H115" i="1" s="1"/>
  <c r="G83" i="1"/>
  <c r="G115" i="1" s="1"/>
  <c r="F83" i="1"/>
  <c r="F115" i="1" s="1"/>
  <c r="K82" i="1"/>
  <c r="K114" i="1" s="1"/>
  <c r="J82" i="1"/>
  <c r="J114" i="1" s="1"/>
  <c r="I82" i="1"/>
  <c r="I114" i="1" s="1"/>
  <c r="H82" i="1"/>
  <c r="H114" i="1" s="1"/>
  <c r="G82" i="1"/>
  <c r="G114" i="1" s="1"/>
  <c r="F82" i="1"/>
  <c r="F114" i="1" s="1"/>
  <c r="K81" i="1"/>
  <c r="K113" i="1" s="1"/>
  <c r="J81" i="1"/>
  <c r="J113" i="1" s="1"/>
  <c r="I81" i="1"/>
  <c r="I113" i="1" s="1"/>
  <c r="H81" i="1"/>
  <c r="H113" i="1" s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K299" i="1" s="1"/>
  <c r="K463" i="1" s="1"/>
  <c r="J71" i="1"/>
  <c r="J299" i="1" s="1"/>
  <c r="J463" i="1" s="1"/>
  <c r="I71" i="1"/>
  <c r="I299" i="1" s="1"/>
  <c r="I463" i="1" s="1"/>
  <c r="H71" i="1"/>
  <c r="H299" i="1" s="1"/>
  <c r="H463" i="1" s="1"/>
  <c r="G71" i="1"/>
  <c r="G299" i="1" s="1"/>
  <c r="G463" i="1" s="1"/>
  <c r="F71" i="1"/>
  <c r="K70" i="1"/>
  <c r="K298" i="1" s="1"/>
  <c r="J70" i="1"/>
  <c r="J298" i="1" s="1"/>
  <c r="J411" i="1" s="1"/>
  <c r="I70" i="1"/>
  <c r="I298" i="1" s="1"/>
  <c r="I411" i="1" s="1"/>
  <c r="H70" i="1"/>
  <c r="G70" i="1"/>
  <c r="F70" i="1"/>
  <c r="F298" i="1" s="1"/>
  <c r="F411" i="1" s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G2044" i="1" a="1"/>
  <c r="G2044" i="1"/>
  <c r="I2043" i="1" a="1"/>
  <c r="I2043" i="1" s="1"/>
  <c r="K2044" i="1" a="1"/>
  <c r="K2044" i="1" s="1"/>
  <c r="H2044" i="1" a="1"/>
  <c r="H2044" i="1" s="1"/>
  <c r="J2043" i="1" a="1"/>
  <c r="J2043" i="1"/>
  <c r="G2042" i="1" a="1"/>
  <c r="G2042" i="1"/>
  <c r="G2043" i="1" a="1"/>
  <c r="G2043" i="1" s="1"/>
  <c r="G2041" i="1" a="1"/>
  <c r="G2041" i="1" s="1"/>
  <c r="I2044" i="1" a="1"/>
  <c r="I2044" i="1"/>
  <c r="H2041" i="1" a="1"/>
  <c r="H2041" i="1"/>
  <c r="K2041" i="1" a="1"/>
  <c r="K2041" i="1" s="1"/>
  <c r="J2044" i="1" a="1"/>
  <c r="J2044" i="1" s="1"/>
  <c r="I2041" i="1" a="1"/>
  <c r="I2041" i="1" s="1"/>
  <c r="J2042" i="1" a="1"/>
  <c r="J2042" i="1" s="1"/>
  <c r="J2041" i="1" a="1"/>
  <c r="J2041" i="1"/>
  <c r="H2042" i="1" a="1"/>
  <c r="H2042" i="1" s="1"/>
  <c r="H2043" i="1" a="1"/>
  <c r="H2043" i="1"/>
  <c r="I2042" i="1" a="1"/>
  <c r="I2042" i="1" s="1"/>
  <c r="F2042" i="1" a="1"/>
  <c r="F2042" i="1" s="1"/>
  <c r="K2042" i="1" a="1"/>
  <c r="K2042" i="1" s="1"/>
  <c r="F2044" i="1" a="1"/>
  <c r="F2044" i="1"/>
  <c r="F2043" i="1" a="1"/>
  <c r="F2043" i="1"/>
  <c r="K2043" i="1" a="1"/>
  <c r="K2043" i="1" s="1"/>
  <c r="F2040" i="1" a="1"/>
  <c r="F2040" i="1"/>
  <c r="I2040" i="1" a="1"/>
  <c r="I2040" i="1" s="1"/>
  <c r="I2039" i="1" a="1"/>
  <c r="I2039" i="1"/>
  <c r="J2037" i="1" a="1"/>
  <c r="J2037" i="1"/>
  <c r="J2036" i="1" a="1"/>
  <c r="J2036" i="1" s="1"/>
  <c r="I2036" i="1" a="1"/>
  <c r="I2036" i="1" s="1"/>
  <c r="I2035" i="1" a="1"/>
  <c r="I2035" i="1"/>
  <c r="G2031" i="1" a="1"/>
  <c r="G2031" i="1"/>
  <c r="J2032" i="1" a="1"/>
  <c r="J2032" i="1" s="1"/>
  <c r="H2032" i="1" a="1"/>
  <c r="H2032" i="1" s="1"/>
  <c r="F2032" i="1" a="1"/>
  <c r="F2032" i="1" s="1"/>
  <c r="H2039" i="1" a="1"/>
  <c r="H2039" i="1" s="1"/>
  <c r="J2038" i="1" a="1"/>
  <c r="J2038" i="1"/>
  <c r="F2039" i="1" a="1"/>
  <c r="F2039" i="1" s="1"/>
  <c r="K2038" i="1" a="1"/>
  <c r="K2038" i="1"/>
  <c r="H2038" i="1" a="1"/>
  <c r="H2038" i="1" s="1"/>
  <c r="F2036" i="1" a="1"/>
  <c r="F2036" i="1" s="1"/>
  <c r="K2035" i="1" a="1"/>
  <c r="K2035" i="1" s="1"/>
  <c r="F2034" i="1" a="1"/>
  <c r="F2034" i="1" s="1"/>
  <c r="J2031" i="1" a="1"/>
  <c r="J2031" i="1" s="1"/>
  <c r="I2031" i="1" a="1"/>
  <c r="I2031" i="1" s="1"/>
  <c r="K2033" i="1" a="1"/>
  <c r="K2033" i="1"/>
  <c r="G2032" i="1" a="1"/>
  <c r="G2032" i="1" s="1"/>
  <c r="G2038" i="1" a="1"/>
  <c r="G2038" i="1"/>
  <c r="H2031" i="1" a="1"/>
  <c r="H2031" i="1"/>
  <c r="G2037" i="1" a="1"/>
  <c r="G2037" i="1" s="1"/>
  <c r="F2035" i="1" a="1"/>
  <c r="F2035" i="1"/>
  <c r="F2038" i="1" a="1"/>
  <c r="F2038" i="1"/>
  <c r="K2037" i="1" a="1"/>
  <c r="K2037" i="1"/>
  <c r="F2037" i="1" a="1"/>
  <c r="F2037" i="1" s="1"/>
  <c r="K2036" i="1" a="1"/>
  <c r="K2036" i="1"/>
  <c r="G2036" i="1" a="1"/>
  <c r="G2036" i="1" s="1"/>
  <c r="K2034" i="1" a="1"/>
  <c r="K2034" i="1" s="1"/>
  <c r="F2031" i="1" a="1"/>
  <c r="F2031" i="1"/>
  <c r="G2034" i="1" a="1"/>
  <c r="G2034" i="1" s="1"/>
  <c r="F2033" i="1" a="1"/>
  <c r="F2033" i="1"/>
  <c r="I2032" i="1" a="1"/>
  <c r="I2032" i="1"/>
  <c r="I2034" i="1" a="1"/>
  <c r="I2034" i="1" s="1"/>
  <c r="G2040" i="1" a="1"/>
  <c r="G2040" i="1" s="1"/>
  <c r="J2034" i="1" a="1"/>
  <c r="J2034" i="1" s="1"/>
  <c r="F2041" i="1" a="1"/>
  <c r="F2041" i="1" s="1"/>
  <c r="J2039" i="1" a="1"/>
  <c r="J2039" i="1" s="1"/>
  <c r="J2035" i="1" a="1"/>
  <c r="J2035" i="1"/>
  <c r="H2036" i="1" a="1"/>
  <c r="H2036" i="1" s="1"/>
  <c r="H2034" i="1" a="1"/>
  <c r="H2034" i="1"/>
  <c r="K2040" i="1" a="1"/>
  <c r="K2040" i="1"/>
  <c r="G2033" i="1" a="1"/>
  <c r="G2033" i="1" s="1"/>
  <c r="J2040" i="1" a="1"/>
  <c r="J2040" i="1"/>
  <c r="G2039" i="1" a="1"/>
  <c r="G2039" i="1"/>
  <c r="G2035" i="1" a="1"/>
  <c r="G2035" i="1" s="1"/>
  <c r="K2039" i="1" a="1"/>
  <c r="K2039" i="1"/>
  <c r="I2037" i="1" a="1"/>
  <c r="I2037" i="1"/>
  <c r="J2033" i="1" a="1"/>
  <c r="J2033" i="1" s="1"/>
  <c r="H2033" i="1" a="1"/>
  <c r="H2033" i="1" s="1"/>
  <c r="K2032" i="1" a="1"/>
  <c r="K2032" i="1"/>
  <c r="I2033" i="1" a="1"/>
  <c r="I2033" i="1" s="1"/>
  <c r="H2040" i="1" a="1"/>
  <c r="H2040" i="1"/>
  <c r="H2037" i="1" a="1"/>
  <c r="H2037" i="1" s="1"/>
  <c r="K2031" i="1" a="1"/>
  <c r="K2031" i="1" s="1"/>
  <c r="I2038" i="1" a="1"/>
  <c r="I2038" i="1" s="1"/>
  <c r="H2035" i="1" a="1"/>
  <c r="H2035" i="1"/>
  <c r="K2030" i="1" a="1"/>
  <c r="K2030" i="1" s="1"/>
  <c r="K2027" i="1" a="1"/>
  <c r="K2027" i="1"/>
  <c r="H2021" i="1" a="1"/>
  <c r="H2021" i="1" s="1"/>
  <c r="F2020" i="1" a="1"/>
  <c r="F2020" i="1"/>
  <c r="J2030" i="1" a="1"/>
  <c r="J2030" i="1"/>
  <c r="I2030" i="1" a="1"/>
  <c r="I2030" i="1" s="1"/>
  <c r="F2029" i="1" a="1"/>
  <c r="F2029" i="1" s="1"/>
  <c r="H2024" i="1" a="1"/>
  <c r="H2024" i="1" s="1"/>
  <c r="K2021" i="1" a="1"/>
  <c r="K2021" i="1" s="1"/>
  <c r="H2020" i="1" a="1"/>
  <c r="H2020" i="1"/>
  <c r="F2021" i="1" a="1"/>
  <c r="F2021" i="1"/>
  <c r="G2021" i="1" a="1"/>
  <c r="G2021" i="1"/>
  <c r="G2027" i="1" a="1"/>
  <c r="G2027" i="1" s="1"/>
  <c r="F2027" i="1" a="1"/>
  <c r="F2027" i="1"/>
  <c r="H2023" i="1" a="1"/>
  <c r="H2023" i="1" s="1"/>
  <c r="J2020" i="1" a="1"/>
  <c r="J2020" i="1"/>
  <c r="G2030" i="1" a="1"/>
  <c r="G2030" i="1"/>
  <c r="K2029" i="1" a="1"/>
  <c r="K2029" i="1" s="1"/>
  <c r="G2029" i="1" a="1"/>
  <c r="G2029" i="1"/>
  <c r="F2024" i="1" a="1"/>
  <c r="F2024" i="1"/>
  <c r="F2023" i="1" s="1" a="1"/>
  <c r="F2023" i="1" s="1"/>
  <c r="G2020" i="1" a="1"/>
  <c r="G2020" i="1" s="1"/>
  <c r="I2021" i="1" a="1"/>
  <c r="I2021" i="1"/>
  <c r="I2027" i="1" a="1"/>
  <c r="I2027" i="1"/>
  <c r="I2020" i="1" a="1"/>
  <c r="I2020" i="1"/>
  <c r="G2024" i="1" a="1"/>
  <c r="G2024" i="1" s="1"/>
  <c r="G2023" i="1" s="1" a="1"/>
  <c r="G2023" i="1" s="1"/>
  <c r="J2029" i="1" a="1"/>
  <c r="J2029" i="1" s="1"/>
  <c r="I2029" i="1" a="1"/>
  <c r="I2029" i="1" s="1"/>
  <c r="K2026" i="1" a="1"/>
  <c r="K2026" i="1" s="1"/>
  <c r="J2027" i="1" a="1"/>
  <c r="J2027" i="1"/>
  <c r="J2026" i="1" s="1" a="1"/>
  <c r="J2026" i="1" s="1"/>
  <c r="F2026" i="1" a="1"/>
  <c r="F2026" i="1" s="1"/>
  <c r="I2026" i="1" a="1"/>
  <c r="I2026" i="1" s="1"/>
  <c r="H2029" i="1" a="1"/>
  <c r="H2029" i="1"/>
  <c r="K2024" i="1" a="1"/>
  <c r="K2024" i="1" s="1"/>
  <c r="K2023" i="1" s="1" a="1"/>
  <c r="K2023" i="1" s="1"/>
  <c r="J2024" i="1" a="1"/>
  <c r="J2024" i="1"/>
  <c r="J2023" i="1" s="1" a="1"/>
  <c r="J2023" i="1" s="1"/>
  <c r="G2026" i="1" a="1"/>
  <c r="G2026" i="1" s="1"/>
  <c r="K2020" i="1" a="1"/>
  <c r="K2020" i="1"/>
  <c r="H2030" i="1" a="1"/>
  <c r="H2030" i="1" s="1"/>
  <c r="F2030" i="1" a="1"/>
  <c r="F2030" i="1" s="1"/>
  <c r="H2027" i="1" a="1"/>
  <c r="H2027" i="1"/>
  <c r="H2026" i="1" s="1" a="1"/>
  <c r="H2026" i="1" s="1"/>
  <c r="I2024" i="1" a="1"/>
  <c r="I2024" i="1" s="1"/>
  <c r="I2023" i="1" s="1" a="1"/>
  <c r="I2023" i="1" s="1"/>
  <c r="J2021" i="1" a="1"/>
  <c r="J2021" i="1"/>
  <c r="H2018" i="1" a="1"/>
  <c r="H2018" i="1" s="1"/>
  <c r="I2018" i="1" a="1"/>
  <c r="I2018" i="1" s="1"/>
  <c r="F2018" i="1" a="1"/>
  <c r="F2018" i="1" s="1"/>
  <c r="K2018" i="1" a="1"/>
  <c r="K2018" i="1" s="1"/>
  <c r="J2018" i="1" a="1"/>
  <c r="J2018" i="1"/>
  <c r="G2018" i="1" a="1"/>
  <c r="G2018" i="1"/>
  <c r="K1703" i="1" a="1"/>
  <c r="K1703" i="1" s="1"/>
  <c r="F1703" i="1" a="1"/>
  <c r="F1703" i="1" s="1"/>
  <c r="G1704" i="1" a="1"/>
  <c r="G1704" i="1"/>
  <c r="I1704" i="1" a="1"/>
  <c r="I1704" i="1" s="1"/>
  <c r="J1704" i="1" a="1"/>
  <c r="J1704" i="1" s="1"/>
  <c r="G1703" i="1" a="1"/>
  <c r="G1703" i="1"/>
  <c r="H1703" i="1" a="1"/>
  <c r="H1703" i="1"/>
  <c r="F1704" i="1" a="1"/>
  <c r="F1704" i="1"/>
  <c r="I1703" i="1" a="1"/>
  <c r="I1703" i="1"/>
  <c r="H1704" i="1" a="1"/>
  <c r="H1704" i="1" s="1"/>
  <c r="K1704" i="1" a="1"/>
  <c r="K1704" i="1" s="1"/>
  <c r="J1703" i="1" a="1"/>
  <c r="J1703" i="1"/>
  <c r="H725" i="1" a="1"/>
  <c r="H725" i="1" s="1"/>
  <c r="H722" i="1" a="1"/>
  <c r="H722" i="1"/>
  <c r="F717" i="1" a="1"/>
  <c r="F717" i="1" s="1"/>
  <c r="J722" i="1" a="1"/>
  <c r="J722" i="1"/>
  <c r="G725" i="1" a="1"/>
  <c r="G725" i="1" s="1"/>
  <c r="K718" i="1" a="1"/>
  <c r="K718" i="1" s="1"/>
  <c r="G717" i="1" a="1"/>
  <c r="G717" i="1"/>
  <c r="I725" i="1" a="1"/>
  <c r="I725" i="1" s="1"/>
  <c r="F722" i="1" a="1"/>
  <c r="F722" i="1"/>
  <c r="I722" i="1" a="1"/>
  <c r="I722" i="1" s="1"/>
  <c r="I718" i="1" a="1"/>
  <c r="I718" i="1"/>
  <c r="G718" i="1" a="1"/>
  <c r="G718" i="1"/>
  <c r="J717" i="1" a="1"/>
  <c r="J717" i="1"/>
  <c r="H717" i="1" a="1"/>
  <c r="H717" i="1" s="1"/>
  <c r="H718" i="1" a="1"/>
  <c r="H718" i="1"/>
  <c r="J718" i="1" a="1"/>
  <c r="J718" i="1" s="1"/>
  <c r="I717" i="1" a="1"/>
  <c r="I717" i="1"/>
  <c r="J725" i="1" a="1"/>
  <c r="J725" i="1" s="1"/>
  <c r="K722" i="1" a="1"/>
  <c r="K722" i="1"/>
  <c r="F725" i="1" a="1"/>
  <c r="F725" i="1" s="1"/>
  <c r="K725" i="1" a="1"/>
  <c r="K725" i="1"/>
  <c r="K717" i="1" a="1"/>
  <c r="K717" i="1" s="1"/>
  <c r="F718" i="1" a="1"/>
  <c r="F718" i="1" s="1"/>
  <c r="G722" i="1" a="1"/>
  <c r="G722" i="1"/>
  <c r="F716" i="1" a="1"/>
  <c r="F716" i="1"/>
  <c r="J695" i="1" a="1"/>
  <c r="J695" i="1"/>
  <c r="G714" i="1" a="1"/>
  <c r="G714" i="1"/>
  <c r="I709" i="1" a="1"/>
  <c r="I709" i="1" s="1"/>
  <c r="K714" i="1" a="1"/>
  <c r="K714" i="1"/>
  <c r="J714" i="1" a="1"/>
  <c r="J714" i="1" s="1"/>
  <c r="H686" i="1" a="1"/>
  <c r="H686" i="1" s="1"/>
  <c r="G694" i="1" a="1"/>
  <c r="G694" i="1"/>
  <c r="I714" i="1" a="1"/>
  <c r="I714" i="1" s="1"/>
  <c r="F714" i="1" a="1"/>
  <c r="F714" i="1"/>
  <c r="K707" i="1" a="1"/>
  <c r="K707" i="1" s="1"/>
  <c r="J707" i="1" a="1"/>
  <c r="J707" i="1" s="1"/>
  <c r="K686" i="1" a="1"/>
  <c r="K686" i="1" s="1"/>
  <c r="H694" i="1" a="1"/>
  <c r="H694" i="1" s="1"/>
  <c r="K694" i="1" a="1"/>
  <c r="K694" i="1"/>
  <c r="K709" i="1" a="1"/>
  <c r="K709" i="1" s="1"/>
  <c r="F707" i="1" a="1"/>
  <c r="F707" i="1" s="1"/>
  <c r="G707" i="1" a="1"/>
  <c r="G707" i="1" s="1"/>
  <c r="J694" i="1" a="1"/>
  <c r="J694" i="1" s="1"/>
  <c r="J686" i="1" a="1"/>
  <c r="J686" i="1"/>
  <c r="F709" i="1" a="1"/>
  <c r="F709" i="1"/>
  <c r="F695" i="1" a="1"/>
  <c r="F695" i="1"/>
  <c r="I694" i="1" a="1"/>
  <c r="I694" i="1"/>
  <c r="I707" i="1" a="1"/>
  <c r="I707" i="1"/>
  <c r="G686" i="1" a="1"/>
  <c r="G686" i="1" s="1"/>
  <c r="J709" i="1" a="1"/>
  <c r="J709" i="1" s="1"/>
  <c r="G709" i="1" a="1"/>
  <c r="G709" i="1" s="1"/>
  <c r="G695" i="1" a="1"/>
  <c r="G695" i="1" s="1"/>
  <c r="K695" i="1" a="1"/>
  <c r="K695" i="1"/>
  <c r="I716" i="1" a="1"/>
  <c r="I716" i="1" s="1"/>
  <c r="I724" i="1" s="1" a="1"/>
  <c r="I724" i="1" s="1"/>
  <c r="I726" i="1" s="1" a="1"/>
  <c r="I726" i="1" s="1"/>
  <c r="H714" i="1" a="1"/>
  <c r="H714" i="1"/>
  <c r="H695" i="1" a="1"/>
  <c r="H695" i="1" s="1"/>
  <c r="I686" i="1" a="1"/>
  <c r="I686" i="1" s="1"/>
  <c r="H707" i="1" a="1"/>
  <c r="H707" i="1" s="1"/>
  <c r="K716" i="1" a="1"/>
  <c r="K716" i="1" s="1"/>
  <c r="H709" i="1" a="1"/>
  <c r="H709" i="1"/>
  <c r="F694" i="1" a="1"/>
  <c r="F694" i="1" s="1"/>
  <c r="J716" i="1" a="1"/>
  <c r="J716" i="1" s="1"/>
  <c r="I695" i="1" a="1"/>
  <c r="I695" i="1" s="1"/>
  <c r="H716" i="1" a="1"/>
  <c r="H716" i="1" s="1"/>
  <c r="G716" i="1" a="1"/>
  <c r="G716" i="1"/>
  <c r="F685" i="1" a="1"/>
  <c r="F685" i="1"/>
  <c r="J681" i="1" a="1"/>
  <c r="J681" i="1"/>
  <c r="H680" i="1" a="1"/>
  <c r="H680" i="1"/>
  <c r="F681" i="1" a="1"/>
  <c r="F681" i="1"/>
  <c r="F679" i="1" a="1"/>
  <c r="F679" i="1" s="1"/>
  <c r="I685" i="1" a="1"/>
  <c r="I685" i="1" s="1"/>
  <c r="F680" i="1" a="1"/>
  <c r="F680" i="1" s="1"/>
  <c r="H683" i="1" a="1"/>
  <c r="H683" i="1"/>
  <c r="K664" i="1" a="1"/>
  <c r="K664" i="1"/>
  <c r="H685" i="1" a="1"/>
  <c r="H685" i="1" s="1"/>
  <c r="G685" i="1" a="1"/>
  <c r="G685" i="1"/>
  <c r="I681" i="1" a="1"/>
  <c r="I681" i="1"/>
  <c r="H664" i="1" a="1"/>
  <c r="H664" i="1" s="1"/>
  <c r="H681" i="1" a="1"/>
  <c r="H681" i="1" s="1"/>
  <c r="J680" i="1" a="1"/>
  <c r="J680" i="1"/>
  <c r="I680" i="1" a="1"/>
  <c r="I680" i="1" s="1"/>
  <c r="J664" i="1" a="1"/>
  <c r="J664" i="1" s="1"/>
  <c r="K683" i="1" a="1"/>
  <c r="K683" i="1" s="1"/>
  <c r="K681" i="1" a="1"/>
  <c r="K681" i="1" s="1"/>
  <c r="K679" i="1" a="1"/>
  <c r="K679" i="1"/>
  <c r="I683" i="1" a="1"/>
  <c r="I683" i="1"/>
  <c r="K680" i="1" a="1"/>
  <c r="K680" i="1"/>
  <c r="H679" i="1" a="1"/>
  <c r="H679" i="1" s="1"/>
  <c r="F683" i="1" a="1"/>
  <c r="F683" i="1"/>
  <c r="I679" i="1" a="1"/>
  <c r="I679" i="1"/>
  <c r="J679" i="1" a="1"/>
  <c r="J679" i="1" s="1"/>
  <c r="G679" i="1" a="1"/>
  <c r="G679" i="1"/>
  <c r="I664" i="1" a="1"/>
  <c r="I664" i="1" s="1"/>
  <c r="F686" i="1" a="1"/>
  <c r="F686" i="1" s="1"/>
  <c r="K685" i="1" a="1"/>
  <c r="K685" i="1"/>
  <c r="G683" i="1" a="1"/>
  <c r="G683" i="1" s="1"/>
  <c r="G681" i="1" a="1"/>
  <c r="G681" i="1"/>
  <c r="G680" i="1" a="1"/>
  <c r="G680" i="1"/>
  <c r="J683" i="1" a="1"/>
  <c r="J683" i="1" s="1"/>
  <c r="J685" i="1" a="1"/>
  <c r="J685" i="1" s="1"/>
  <c r="G663" i="1" a="1"/>
  <c r="G663" i="1" s="1"/>
  <c r="F663" i="1" a="1"/>
  <c r="F663" i="1" s="1"/>
  <c r="J651" i="1" a="1"/>
  <c r="J651" i="1" s="1"/>
  <c r="F651" i="1" a="1"/>
  <c r="F651" i="1"/>
  <c r="F662" i="1" a="1"/>
  <c r="F662" i="1" s="1"/>
  <c r="I651" i="1" a="1"/>
  <c r="I651" i="1" s="1"/>
  <c r="H650" i="1" a="1"/>
  <c r="H650" i="1"/>
  <c r="I650" i="1" a="1"/>
  <c r="I650" i="1" s="1"/>
  <c r="F650" i="1" a="1"/>
  <c r="F650" i="1" s="1"/>
  <c r="H647" i="1" a="1"/>
  <c r="H647" i="1"/>
  <c r="K646" i="1" a="1"/>
  <c r="K646" i="1" s="1"/>
  <c r="G646" i="1" a="1"/>
  <c r="G646" i="1" s="1"/>
  <c r="F648" i="1" a="1"/>
  <c r="F648" i="1"/>
  <c r="K662" i="1" a="1"/>
  <c r="K662" i="1" s="1"/>
  <c r="I662" i="1" a="1"/>
  <c r="I662" i="1"/>
  <c r="H651" i="1" a="1"/>
  <c r="H651" i="1"/>
  <c r="J648" i="1" a="1"/>
  <c r="J648" i="1" s="1"/>
  <c r="F647" i="1" a="1"/>
  <c r="F647" i="1"/>
  <c r="H646" i="1" a="1"/>
  <c r="H646" i="1" s="1"/>
  <c r="K648" i="1" a="1"/>
  <c r="K648" i="1" s="1"/>
  <c r="J646" i="1" a="1"/>
  <c r="J646" i="1" s="1"/>
  <c r="I647" i="1" a="1"/>
  <c r="I647" i="1"/>
  <c r="G650" i="1" a="1"/>
  <c r="G650" i="1" s="1"/>
  <c r="F646" i="1" a="1"/>
  <c r="F646" i="1" s="1"/>
  <c r="H662" i="1" a="1"/>
  <c r="H662" i="1"/>
  <c r="J650" i="1" a="1"/>
  <c r="J650" i="1" s="1"/>
  <c r="J647" i="1" a="1"/>
  <c r="J647" i="1"/>
  <c r="I646" i="1" a="1"/>
  <c r="I646" i="1"/>
  <c r="K647" i="1" a="1"/>
  <c r="K647" i="1" s="1"/>
  <c r="H648" i="1" a="1"/>
  <c r="H648" i="1" s="1"/>
  <c r="K651" i="1" a="1"/>
  <c r="K651" i="1" s="1"/>
  <c r="G647" i="1" a="1"/>
  <c r="G647" i="1" s="1"/>
  <c r="H645" i="1" a="1"/>
  <c r="H645" i="1" s="1"/>
  <c r="J662" i="1" a="1"/>
  <c r="J662" i="1"/>
  <c r="K650" i="1" a="1"/>
  <c r="K650" i="1"/>
  <c r="J645" i="1" a="1"/>
  <c r="J645" i="1"/>
  <c r="I645" i="1" a="1"/>
  <c r="I645" i="1"/>
  <c r="G664" i="1" a="1"/>
  <c r="G664" i="1" s="1"/>
  <c r="I663" i="1" a="1"/>
  <c r="I663" i="1"/>
  <c r="G662" i="1" a="1"/>
  <c r="G662" i="1"/>
  <c r="I648" i="1" a="1"/>
  <c r="I648" i="1" s="1"/>
  <c r="F664" i="1" a="1"/>
  <c r="F664" i="1"/>
  <c r="K663" i="1" a="1"/>
  <c r="K663" i="1"/>
  <c r="J663" i="1" a="1"/>
  <c r="J663" i="1" s="1"/>
  <c r="G651" i="1" a="1"/>
  <c r="G651" i="1" s="1"/>
  <c r="G648" i="1" a="1"/>
  <c r="G648" i="1"/>
  <c r="K645" i="1" a="1"/>
  <c r="K645" i="1" s="1"/>
  <c r="H663" i="1" a="1"/>
  <c r="H663" i="1"/>
  <c r="I635" i="1" a="1"/>
  <c r="I635" i="1"/>
  <c r="H640" i="1" a="1"/>
  <c r="H640" i="1"/>
  <c r="F638" i="1" a="1"/>
  <c r="F638" i="1" s="1"/>
  <c r="G635" i="1" a="1"/>
  <c r="G635" i="1"/>
  <c r="G637" i="1" a="1"/>
  <c r="G637" i="1" s="1"/>
  <c r="G640" i="1" a="1"/>
  <c r="G640" i="1" s="1"/>
  <c r="G645" i="1" a="1"/>
  <c r="G645" i="1"/>
  <c r="F645" i="1" a="1"/>
  <c r="F645" i="1" s="1"/>
  <c r="I638" i="1" a="1"/>
  <c r="I638" i="1"/>
  <c r="I643" i="1" a="1"/>
  <c r="I643" i="1"/>
  <c r="I641" i="1" a="1"/>
  <c r="I641" i="1" s="1"/>
  <c r="H637" i="1" a="1"/>
  <c r="H637" i="1"/>
  <c r="J643" i="1" a="1"/>
  <c r="J643" i="1" s="1"/>
  <c r="K637" i="1" a="1"/>
  <c r="K637" i="1"/>
  <c r="I637" i="1" a="1"/>
  <c r="I637" i="1" s="1"/>
  <c r="K636" i="1" a="1"/>
  <c r="K636" i="1"/>
  <c r="J635" i="1" a="1"/>
  <c r="J635" i="1" s="1"/>
  <c r="F637" i="1" a="1"/>
  <c r="F637" i="1" s="1"/>
  <c r="H636" i="1" a="1"/>
  <c r="H636" i="1"/>
  <c r="F640" i="1" a="1"/>
  <c r="F640" i="1" s="1"/>
  <c r="H643" i="1" a="1"/>
  <c r="H643" i="1" s="1"/>
  <c r="G638" i="1" a="1"/>
  <c r="G638" i="1"/>
  <c r="I640" i="1" a="1"/>
  <c r="I640" i="1" s="1"/>
  <c r="F635" i="1" a="1"/>
  <c r="F635" i="1"/>
  <c r="J641" i="1" a="1"/>
  <c r="J641" i="1" s="1"/>
  <c r="H635" i="1" a="1"/>
  <c r="H635" i="1" s="1"/>
  <c r="J638" i="1" a="1"/>
  <c r="J638" i="1" s="1"/>
  <c r="K641" i="1" a="1"/>
  <c r="K641" i="1"/>
  <c r="G641" i="1" a="1"/>
  <c r="G641" i="1" s="1"/>
  <c r="J640" i="1" a="1"/>
  <c r="J640" i="1" s="1"/>
  <c r="F636" i="1" a="1"/>
  <c r="F636" i="1"/>
  <c r="K638" i="1" a="1"/>
  <c r="K638" i="1" s="1"/>
  <c r="G636" i="1" a="1"/>
  <c r="G636" i="1" s="1"/>
  <c r="K640" i="1" a="1"/>
  <c r="K640" i="1"/>
  <c r="H638" i="1" a="1"/>
  <c r="H638" i="1"/>
  <c r="F643" i="1" a="1"/>
  <c r="F643" i="1"/>
  <c r="K643" i="1" a="1"/>
  <c r="K643" i="1"/>
  <c r="H641" i="1" a="1"/>
  <c r="H641" i="1" s="1"/>
  <c r="G643" i="1" a="1"/>
  <c r="G643" i="1"/>
  <c r="K635" i="1" a="1"/>
  <c r="K635" i="1"/>
  <c r="J636" i="1" a="1"/>
  <c r="J636" i="1" s="1"/>
  <c r="J637" i="1" a="1"/>
  <c r="J637" i="1" s="1"/>
  <c r="I636" i="1" a="1"/>
  <c r="I636" i="1" s="1"/>
  <c r="F641" i="1" a="1"/>
  <c r="F641" i="1"/>
  <c r="J623" i="1" a="1"/>
  <c r="J623" i="1"/>
  <c r="F633" i="1" a="1"/>
  <c r="F633" i="1" s="1"/>
  <c r="I628" i="1" a="1"/>
  <c r="I628" i="1" s="1"/>
  <c r="G627" i="1" a="1"/>
  <c r="G627" i="1"/>
  <c r="F628" i="1" a="1"/>
  <c r="F628" i="1"/>
  <c r="H628" i="1" a="1"/>
  <c r="H628" i="1" s="1"/>
  <c r="J630" i="1" a="1"/>
  <c r="J630" i="1" s="1"/>
  <c r="I630" i="1" a="1"/>
  <c r="I630" i="1"/>
  <c r="G626" i="1" a="1"/>
  <c r="G626" i="1" s="1"/>
  <c r="G623" i="1" a="1"/>
  <c r="G623" i="1"/>
  <c r="J627" i="1" a="1"/>
  <c r="J627" i="1" s="1"/>
  <c r="G625" i="1" a="1"/>
  <c r="G625" i="1"/>
  <c r="J621" i="1" a="1"/>
  <c r="J621" i="1" s="1"/>
  <c r="H627" i="1" a="1"/>
  <c r="H627" i="1"/>
  <c r="J628" i="1" a="1"/>
  <c r="J628" i="1"/>
  <c r="F626" i="1" a="1"/>
  <c r="F626" i="1"/>
  <c r="I631" i="1" a="1"/>
  <c r="I631" i="1" s="1"/>
  <c r="K621" i="1" a="1"/>
  <c r="K621" i="1"/>
  <c r="I623" i="1" a="1"/>
  <c r="I623" i="1" s="1"/>
  <c r="K630" i="1" a="1"/>
  <c r="K630" i="1"/>
  <c r="I621" i="1" a="1"/>
  <c r="I621" i="1"/>
  <c r="I627" i="1" a="1"/>
  <c r="I627" i="1" s="1"/>
  <c r="J625" i="1" a="1"/>
  <c r="J625" i="1" s="1"/>
  <c r="I625" i="1" a="1"/>
  <c r="I625" i="1"/>
  <c r="H630" i="1" a="1"/>
  <c r="H630" i="1"/>
  <c r="H626" i="1" a="1"/>
  <c r="H626" i="1"/>
  <c r="H623" i="1" a="1"/>
  <c r="H623" i="1"/>
  <c r="K625" i="1" a="1"/>
  <c r="K625" i="1"/>
  <c r="F627" i="1" a="1"/>
  <c r="F627" i="1" s="1"/>
  <c r="J631" i="1" a="1"/>
  <c r="J631" i="1"/>
  <c r="H631" i="1" a="1"/>
  <c r="H631" i="1" s="1"/>
  <c r="G631" i="1" a="1"/>
  <c r="G631" i="1"/>
  <c r="F630" i="1" a="1"/>
  <c r="F630" i="1" s="1"/>
  <c r="K628" i="1" a="1"/>
  <c r="K628" i="1"/>
  <c r="K627" i="1" a="1"/>
  <c r="K627" i="1"/>
  <c r="J626" i="1" a="1"/>
  <c r="J626" i="1"/>
  <c r="F625" i="1" a="1"/>
  <c r="F625" i="1"/>
  <c r="K631" i="1" a="1"/>
  <c r="K631" i="1"/>
  <c r="F631" i="1" a="1"/>
  <c r="F631" i="1" s="1"/>
  <c r="G630" i="1" a="1"/>
  <c r="G630" i="1"/>
  <c r="H621" i="1" a="1"/>
  <c r="H621" i="1"/>
  <c r="G628" i="1" a="1"/>
  <c r="G628" i="1" s="1"/>
  <c r="K626" i="1" a="1"/>
  <c r="K626" i="1" s="1"/>
  <c r="I626" i="1" a="1"/>
  <c r="I626" i="1"/>
  <c r="K623" i="1" a="1"/>
  <c r="K623" i="1"/>
  <c r="F623" i="1" a="1"/>
  <c r="F623" i="1"/>
  <c r="H625" i="1" a="1"/>
  <c r="H625" i="1" s="1"/>
  <c r="K633" i="1" a="1"/>
  <c r="K633" i="1"/>
  <c r="J633" i="1" a="1"/>
  <c r="J633" i="1" s="1"/>
  <c r="I633" i="1" a="1"/>
  <c r="I633" i="1"/>
  <c r="H633" i="1" a="1"/>
  <c r="H633" i="1"/>
  <c r="G633" i="1" a="1"/>
  <c r="G633" i="1"/>
  <c r="J617" i="1" a="1"/>
  <c r="J617" i="1" s="1"/>
  <c r="K615" i="1" a="1"/>
  <c r="K615" i="1" s="1"/>
  <c r="H615" i="1" a="1"/>
  <c r="H615" i="1" s="1"/>
  <c r="J604" i="1" a="1"/>
  <c r="J604" i="1" s="1"/>
  <c r="I604" i="1" a="1"/>
  <c r="I604" i="1" s="1"/>
  <c r="G617" i="1" a="1"/>
  <c r="G617" i="1"/>
  <c r="H616" i="1" a="1"/>
  <c r="H616" i="1" s="1"/>
  <c r="G615" i="1" a="1"/>
  <c r="G615" i="1" s="1"/>
  <c r="J607" i="1" a="1"/>
  <c r="J607" i="1" s="1"/>
  <c r="G607" i="1" a="1"/>
  <c r="G607" i="1" s="1"/>
  <c r="H605" i="1" a="1"/>
  <c r="H605" i="1" s="1"/>
  <c r="K608" i="1" a="1"/>
  <c r="K608" i="1" s="1"/>
  <c r="K604" i="1" a="1"/>
  <c r="K604" i="1" s="1"/>
  <c r="G618" i="1" a="1"/>
  <c r="G618" i="1" s="1"/>
  <c r="F616" i="1" a="1"/>
  <c r="F616" i="1" s="1"/>
  <c r="G616" i="1" a="1"/>
  <c r="G616" i="1" s="1"/>
  <c r="F615" i="1" a="1"/>
  <c r="F615" i="1" s="1"/>
  <c r="J608" i="1" a="1"/>
  <c r="J608" i="1" s="1"/>
  <c r="F608" i="1" a="1"/>
  <c r="F608" i="1" s="1"/>
  <c r="H607" i="1" a="1"/>
  <c r="H607" i="1" s="1"/>
  <c r="I605" i="1" a="1"/>
  <c r="I605" i="1" s="1"/>
  <c r="J605" i="1" a="1"/>
  <c r="J605" i="1" s="1"/>
  <c r="G605" i="1" a="1"/>
  <c r="G605" i="1" s="1"/>
  <c r="F607" i="1" a="1"/>
  <c r="F607" i="1" s="1"/>
  <c r="K617" i="1" a="1"/>
  <c r="K617" i="1" s="1"/>
  <c r="K607" i="1" a="1"/>
  <c r="K607" i="1" s="1"/>
  <c r="F617" i="1" a="1"/>
  <c r="F617" i="1" s="1"/>
  <c r="J616" i="1" a="1"/>
  <c r="J616" i="1" s="1"/>
  <c r="K605" i="1" a="1"/>
  <c r="K605" i="1" s="1"/>
  <c r="J618" i="1" a="1"/>
  <c r="J618" i="1" s="1"/>
  <c r="J615" i="1" a="1"/>
  <c r="J615" i="1" s="1"/>
  <c r="I618" i="1" a="1"/>
  <c r="I618" i="1" s="1"/>
  <c r="H617" i="1" a="1"/>
  <c r="H617" i="1" s="1"/>
  <c r="H618" i="1" a="1"/>
  <c r="H618" i="1" s="1"/>
  <c r="I617" i="1" a="1"/>
  <c r="I617" i="1" s="1"/>
  <c r="K616" i="1" a="1"/>
  <c r="K616" i="1" s="1"/>
  <c r="I616" i="1" a="1"/>
  <c r="I616" i="1" s="1"/>
  <c r="I607" i="1" a="1"/>
  <c r="I607" i="1" s="1"/>
  <c r="F605" i="1" a="1"/>
  <c r="F605" i="1" s="1"/>
  <c r="G621" i="1" a="1"/>
  <c r="G621" i="1" s="1"/>
  <c r="F621" i="1" a="1"/>
  <c r="F621" i="1" s="1"/>
  <c r="G608" i="1" a="1"/>
  <c r="G608" i="1" s="1"/>
  <c r="F620" i="1" a="1"/>
  <c r="F620" i="1" s="1"/>
  <c r="K620" i="1" a="1"/>
  <c r="K620" i="1" s="1"/>
  <c r="J620" i="1" a="1"/>
  <c r="J620" i="1" s="1"/>
  <c r="I615" i="1" a="1"/>
  <c r="I615" i="1" s="1"/>
  <c r="H620" i="1" a="1"/>
  <c r="H620" i="1" s="1"/>
  <c r="H604" i="1" a="1"/>
  <c r="H604" i="1" s="1"/>
  <c r="I620" i="1" a="1"/>
  <c r="I620" i="1" s="1"/>
  <c r="G620" i="1" a="1"/>
  <c r="G620" i="1" s="1"/>
  <c r="H608" i="1" a="1"/>
  <c r="H608" i="1" s="1"/>
  <c r="I608" i="1" a="1"/>
  <c r="I608" i="1" s="1"/>
  <c r="K618" i="1" a="1"/>
  <c r="K618" i="1" s="1"/>
  <c r="F618" i="1" a="1"/>
  <c r="F618" i="1" s="1"/>
  <c r="G586" i="1" a="1"/>
  <c r="G586" i="1" s="1"/>
  <c r="H591" i="1" a="1"/>
  <c r="H591" i="1" s="1"/>
  <c r="F591" i="1" a="1"/>
  <c r="F591" i="1" s="1"/>
  <c r="J587" i="1" a="1"/>
  <c r="J587" i="1" s="1"/>
  <c r="J586" i="1" a="1"/>
  <c r="J586" i="1" s="1"/>
  <c r="G587" i="1" a="1"/>
  <c r="G587" i="1" s="1"/>
  <c r="I587" i="1" a="1"/>
  <c r="I587" i="1" s="1"/>
  <c r="K591" i="1" a="1"/>
  <c r="K591" i="1" s="1"/>
  <c r="G593" i="1" a="1"/>
  <c r="G593" i="1" s="1"/>
  <c r="J594" i="1" a="1"/>
  <c r="J594" i="1" s="1"/>
  <c r="K583" i="1" a="1"/>
  <c r="K583" i="1" s="1"/>
  <c r="H600" i="1" a="1"/>
  <c r="H600" i="1" s="1"/>
  <c r="K593" i="1" a="1"/>
  <c r="K593" i="1" s="1"/>
  <c r="I594" i="1" a="1"/>
  <c r="I594" i="1" s="1"/>
  <c r="J591" i="1" a="1"/>
  <c r="J591" i="1" s="1"/>
  <c r="F586" i="1" a="1"/>
  <c r="F586" i="1" s="1"/>
  <c r="K601" i="1" a="1"/>
  <c r="K601" i="1" s="1"/>
  <c r="J601" i="1" a="1"/>
  <c r="J601" i="1" s="1"/>
  <c r="J593" i="1" a="1"/>
  <c r="J593" i="1" s="1"/>
  <c r="K594" i="1" a="1"/>
  <c r="K594" i="1" s="1"/>
  <c r="G600" i="1" a="1"/>
  <c r="G600" i="1" s="1"/>
  <c r="I593" i="1" a="1"/>
  <c r="I593" i="1" s="1"/>
  <c r="H590" i="1" a="1"/>
  <c r="H590" i="1" s="1"/>
  <c r="I586" i="1" a="1"/>
  <c r="I586" i="1" s="1"/>
  <c r="I601" i="1" a="1"/>
  <c r="I601" i="1" s="1"/>
  <c r="H586" i="1" a="1"/>
  <c r="H586" i="1" s="1"/>
  <c r="H593" i="1" a="1"/>
  <c r="H593" i="1" s="1"/>
  <c r="I590" i="1" a="1"/>
  <c r="I590" i="1" s="1"/>
  <c r="K586" i="1" a="1"/>
  <c r="K586" i="1" s="1"/>
  <c r="J600" i="1" a="1"/>
  <c r="J600" i="1" s="1"/>
  <c r="G594" i="1" a="1"/>
  <c r="G594" i="1" s="1"/>
  <c r="K587" i="1" a="1"/>
  <c r="K587" i="1" s="1"/>
  <c r="H601" i="1" a="1"/>
  <c r="H601" i="1" s="1"/>
  <c r="I600" i="1" a="1"/>
  <c r="I600" i="1" s="1"/>
  <c r="H594" i="1" a="1"/>
  <c r="H594" i="1" s="1"/>
  <c r="F590" i="1" a="1"/>
  <c r="F590" i="1" s="1"/>
  <c r="G590" i="1" a="1"/>
  <c r="G590" i="1" s="1"/>
  <c r="F594" i="1" a="1"/>
  <c r="F594" i="1" s="1"/>
  <c r="G604" i="1" a="1"/>
  <c r="G604" i="1" s="1"/>
  <c r="F604" i="1" a="1"/>
  <c r="F604" i="1" s="1"/>
  <c r="F600" i="1" a="1"/>
  <c r="F600" i="1" s="1"/>
  <c r="J590" i="1" a="1"/>
  <c r="J590" i="1" s="1"/>
  <c r="G601" i="1" a="1"/>
  <c r="G601" i="1" s="1"/>
  <c r="F601" i="1" a="1"/>
  <c r="F601" i="1" s="1"/>
  <c r="G591" i="1" a="1"/>
  <c r="G591" i="1" s="1"/>
  <c r="H587" i="1" a="1"/>
  <c r="H587" i="1" s="1"/>
  <c r="K600" i="1" a="1"/>
  <c r="K600" i="1" s="1"/>
  <c r="F593" i="1" a="1"/>
  <c r="F593" i="1" s="1"/>
  <c r="I591" i="1" a="1"/>
  <c r="I591" i="1" s="1"/>
  <c r="K590" i="1" a="1"/>
  <c r="K590" i="1" s="1"/>
  <c r="F587" i="1" a="1"/>
  <c r="F587" i="1" s="1"/>
  <c r="J582" i="1" a="1"/>
  <c r="J582" i="1" s="1"/>
  <c r="H582" i="1" a="1"/>
  <c r="H582" i="1" s="1"/>
  <c r="F582" i="1" a="1"/>
  <c r="F582" i="1" s="1"/>
  <c r="I583" i="1" a="1"/>
  <c r="I583" i="1" s="1"/>
  <c r="J583" i="1" a="1"/>
  <c r="J583" i="1" s="1"/>
  <c r="H583" i="1" a="1"/>
  <c r="H583" i="1" s="1"/>
  <c r="G583" i="1" a="1"/>
  <c r="G583" i="1" s="1"/>
  <c r="F583" i="1" a="1"/>
  <c r="F583" i="1" s="1"/>
  <c r="K582" i="1" a="1"/>
  <c r="K582" i="1" s="1"/>
  <c r="I582" i="1" a="1"/>
  <c r="I582" i="1" s="1"/>
  <c r="G582" i="1" a="1"/>
  <c r="G582" i="1" s="1"/>
  <c r="F30" i="1" a="1"/>
  <c r="F30" i="1" s="1"/>
  <c r="I30" i="1" a="1"/>
  <c r="I30" i="1" s="1"/>
  <c r="K30" i="1" a="1"/>
  <c r="K30" i="1" s="1"/>
  <c r="H30" i="1" a="1"/>
  <c r="H30" i="1" s="1"/>
  <c r="F31" i="1" a="1"/>
  <c r="F31" i="1" s="1"/>
  <c r="J31" i="1" a="1"/>
  <c r="J31" i="1" s="1"/>
  <c r="I31" i="1" a="1"/>
  <c r="I31" i="1" s="1"/>
  <c r="J30" i="1" a="1"/>
  <c r="J30" i="1" s="1"/>
  <c r="G31" i="1" a="1"/>
  <c r="G31" i="1" s="1"/>
  <c r="H31" i="1" a="1"/>
  <c r="H31" i="1" s="1"/>
  <c r="K31" i="1" a="1"/>
  <c r="K31" i="1" s="1"/>
  <c r="G30" i="1" a="1"/>
  <c r="G30" i="1" s="1"/>
  <c r="K741" i="1" a="1"/>
  <c r="K741" i="1" s="1"/>
  <c r="I738" i="1" a="1"/>
  <c r="I738" i="1" s="1"/>
  <c r="J741" i="1" a="1"/>
  <c r="J741" i="1" s="1"/>
  <c r="H738" i="1" a="1"/>
  <c r="H738" i="1" s="1"/>
  <c r="H741" i="1" a="1"/>
  <c r="H741" i="1" s="1"/>
  <c r="I741" i="1" a="1"/>
  <c r="I741" i="1" s="1"/>
  <c r="G740" i="1" a="1"/>
  <c r="G740" i="1" s="1"/>
  <c r="G742" i="1" s="1" a="1"/>
  <c r="G742" i="1" s="1"/>
  <c r="G738" i="1" a="1"/>
  <c r="G738" i="1" s="1"/>
  <c r="G741" i="1" a="1"/>
  <c r="G741" i="1" s="1"/>
  <c r="K738" i="1" a="1"/>
  <c r="K738" i="1" s="1"/>
  <c r="F738" i="1" a="1"/>
  <c r="F738" i="1" s="1"/>
  <c r="F741" i="1" a="1"/>
  <c r="F741" i="1" s="1"/>
  <c r="J738" i="1" a="1"/>
  <c r="J738" i="1" s="1"/>
  <c r="K19" i="1"/>
  <c r="K18" i="1" s="1"/>
  <c r="J19" i="1"/>
  <c r="J18" i="1" s="1"/>
  <c r="I19" i="1"/>
  <c r="H19" i="1"/>
  <c r="H18" i="1" s="1"/>
  <c r="G19" i="1"/>
  <c r="G18" i="1" s="1"/>
  <c r="F19" i="1"/>
  <c r="F18" i="1" s="1"/>
  <c r="I18" i="1"/>
  <c r="G282" i="1" a="1"/>
  <c r="G282" i="1" s="1"/>
  <c r="G281" i="1" s="1"/>
  <c r="G380" i="1" s="1"/>
  <c r="G511" i="1" s="1"/>
  <c r="I273" i="1" a="1"/>
  <c r="I273" i="1" s="1"/>
  <c r="I272" i="1" s="1"/>
  <c r="G240" i="1" a="1"/>
  <c r="G240" i="1" s="1"/>
  <c r="I240" i="1" a="1"/>
  <c r="I240" i="1" s="1"/>
  <c r="H240" i="1" a="1"/>
  <c r="H240" i="1" s="1"/>
  <c r="I282" i="1" a="1"/>
  <c r="I282" i="1" s="1"/>
  <c r="I281" i="1" s="1"/>
  <c r="F240" i="1" a="1"/>
  <c r="F240" i="1" s="1"/>
  <c r="F239" i="1" s="1"/>
  <c r="J282" i="1" a="1"/>
  <c r="J282" i="1" s="1"/>
  <c r="J281" i="1" s="1"/>
  <c r="J380" i="1" s="1"/>
  <c r="J511" i="1" s="1"/>
  <c r="J273" i="1" a="1"/>
  <c r="J273" i="1" s="1"/>
  <c r="J272" i="1" s="1"/>
  <c r="J361" i="1" s="1"/>
  <c r="J502" i="1" s="1"/>
  <c r="F273" i="1" a="1"/>
  <c r="F273" i="1" s="1"/>
  <c r="J240" i="1" a="1"/>
  <c r="J240" i="1" s="1"/>
  <c r="F282" i="1" a="1"/>
  <c r="F282" i="1" s="1"/>
  <c r="F281" i="1" s="1"/>
  <c r="G273" i="1" a="1"/>
  <c r="G273" i="1" s="1"/>
  <c r="G272" i="1" s="1"/>
  <c r="G361" i="1" s="1"/>
  <c r="G502" i="1" s="1"/>
  <c r="K273" i="1" a="1"/>
  <c r="K273" i="1" s="1"/>
  <c r="H273" i="1" a="1"/>
  <c r="H273" i="1" s="1"/>
  <c r="H272" i="1" s="1"/>
  <c r="H361" i="1" s="1"/>
  <c r="H502" i="1" s="1"/>
  <c r="K282" i="1" a="1"/>
  <c r="K282" i="1" s="1"/>
  <c r="K281" i="1" s="1"/>
  <c r="H282" i="1" a="1"/>
  <c r="H282" i="1" s="1"/>
  <c r="H281" i="1" s="1"/>
  <c r="H380" i="1" s="1"/>
  <c r="H511" i="1" s="1"/>
  <c r="K240" i="1" a="1"/>
  <c r="K240" i="1" s="1"/>
  <c r="K239" i="1" s="1"/>
  <c r="K314" i="1" s="1"/>
  <c r="K469" i="1" s="1"/>
  <c r="J197" i="1" a="1"/>
  <c r="J197" i="1" s="1"/>
  <c r="J196" i="1" s="1"/>
  <c r="F197" i="1" a="1"/>
  <c r="F197" i="1" s="1"/>
  <c r="H197" i="1" a="1"/>
  <c r="H197" i="1" s="1"/>
  <c r="H196" i="1" s="1"/>
  <c r="I197" i="1" a="1"/>
  <c r="I197" i="1" s="1"/>
  <c r="I196" i="1" s="1"/>
  <c r="I359" i="1" s="1"/>
  <c r="I426" i="1" s="1"/>
  <c r="G197" i="1" a="1"/>
  <c r="G197" i="1" s="1"/>
  <c r="G196" i="1" s="1"/>
  <c r="K197" i="1" a="1"/>
  <c r="K197" i="1" s="1"/>
  <c r="K196" i="1" s="1"/>
  <c r="J137" i="1" a="1"/>
  <c r="J137" i="1" s="1"/>
  <c r="I137" i="1" a="1"/>
  <c r="I137" i="1" s="1"/>
  <c r="H137" i="1" a="1"/>
  <c r="H137" i="1" s="1"/>
  <c r="H136" i="1" a="1"/>
  <c r="H136" i="1" s="1"/>
  <c r="F139" i="1" a="1"/>
  <c r="F139" i="1" s="1"/>
  <c r="K139" i="1" a="1"/>
  <c r="K139" i="1" s="1"/>
  <c r="J139" i="1" a="1"/>
  <c r="J139" i="1" s="1"/>
  <c r="I139" i="1" a="1"/>
  <c r="I139" i="1" s="1"/>
  <c r="H138" i="1" a="1"/>
  <c r="H138" i="1" s="1"/>
  <c r="G138" i="1" a="1"/>
  <c r="G138" i="1" s="1"/>
  <c r="F137" i="1" a="1"/>
  <c r="F137" i="1" s="1"/>
  <c r="K136" i="1" a="1"/>
  <c r="K136" i="1" s="1"/>
  <c r="I136" i="1" a="1"/>
  <c r="I136" i="1" s="1"/>
  <c r="F136" i="1" a="1"/>
  <c r="F136" i="1" s="1"/>
  <c r="F138" i="1" a="1"/>
  <c r="F138" i="1" s="1"/>
  <c r="K137" i="1" a="1"/>
  <c r="K137" i="1" s="1"/>
  <c r="G137" i="1" a="1"/>
  <c r="G137" i="1" s="1"/>
  <c r="J136" i="1" a="1"/>
  <c r="J136" i="1" s="1"/>
  <c r="G136" i="1" a="1"/>
  <c r="G136" i="1" s="1"/>
  <c r="H139" i="1" a="1"/>
  <c r="H139" i="1" s="1"/>
  <c r="G139" i="1" a="1"/>
  <c r="G139" i="1" s="1"/>
  <c r="K138" i="1" a="1"/>
  <c r="K138" i="1" s="1"/>
  <c r="I138" i="1" a="1"/>
  <c r="I138" i="1" s="1"/>
  <c r="I58" i="1" a="1"/>
  <c r="I58" i="1" s="1"/>
  <c r="H60" i="1" a="1"/>
  <c r="H60" i="1" s="1"/>
  <c r="K59" i="1" a="1"/>
  <c r="K59" i="1" s="1"/>
  <c r="H58" i="1" a="1"/>
  <c r="H58" i="1" s="1"/>
  <c r="I53" i="1" a="1"/>
  <c r="I53" i="1" s="1"/>
  <c r="G58" i="1" a="1"/>
  <c r="G58" i="1" s="1"/>
  <c r="J58" i="1" a="1"/>
  <c r="J58" i="1" s="1"/>
  <c r="K60" i="1" a="1"/>
  <c r="K60" i="1" s="1"/>
  <c r="G60" i="1" a="1"/>
  <c r="G60" i="1" s="1"/>
  <c r="J59" i="1" a="1"/>
  <c r="J59" i="1" s="1"/>
  <c r="G59" i="1" a="1"/>
  <c r="G59" i="1" s="1"/>
  <c r="J57" i="1" a="1"/>
  <c r="J57" i="1" s="1"/>
  <c r="F57" i="1" a="1"/>
  <c r="F57" i="1" s="1"/>
  <c r="G57" i="1" a="1"/>
  <c r="G57" i="1" s="1"/>
  <c r="I60" i="1" a="1"/>
  <c r="I60" i="1" s="1"/>
  <c r="I59" i="1" a="1"/>
  <c r="I59" i="1" s="1"/>
  <c r="F59" i="1" a="1"/>
  <c r="F59" i="1" s="1"/>
  <c r="K58" i="1" a="1"/>
  <c r="K58" i="1" s="1"/>
  <c r="K57" i="1" a="1"/>
  <c r="K57" i="1" s="1"/>
  <c r="G53" i="1" a="1"/>
  <c r="G53" i="1" s="1"/>
  <c r="I57" i="1" a="1"/>
  <c r="I57" i="1" s="1"/>
  <c r="H53" i="1" a="1"/>
  <c r="H53" i="1" s="1"/>
  <c r="J53" i="1" a="1"/>
  <c r="J53" i="1" s="1"/>
  <c r="J60" i="1" a="1"/>
  <c r="J60" i="1" s="1"/>
  <c r="K53" i="1" a="1"/>
  <c r="K53" i="1" s="1"/>
  <c r="F58" i="1" a="1"/>
  <c r="F58" i="1" s="1"/>
  <c r="H57" i="1" a="1"/>
  <c r="H57" i="1" s="1"/>
  <c r="H59" i="1" a="1"/>
  <c r="H59" i="1" s="1"/>
  <c r="F60" i="1" a="1"/>
  <c r="F60" i="1" s="1"/>
  <c r="J51" i="1" a="1"/>
  <c r="J51" i="1" s="1"/>
  <c r="H51" i="1" a="1"/>
  <c r="H51" i="1" s="1"/>
  <c r="J50" i="1" a="1"/>
  <c r="J50" i="1" s="1"/>
  <c r="I50" i="1" a="1"/>
  <c r="I50" i="1" s="1"/>
  <c r="F51" i="1" a="1"/>
  <c r="F51" i="1" s="1"/>
  <c r="F50" i="1" a="1"/>
  <c r="F50" i="1" s="1"/>
  <c r="I51" i="1" a="1"/>
  <c r="I51" i="1" s="1"/>
  <c r="G51" i="1" a="1"/>
  <c r="G51" i="1" s="1"/>
  <c r="K50" i="1" a="1"/>
  <c r="K50" i="1" s="1"/>
  <c r="H50" i="1" a="1"/>
  <c r="H50" i="1" s="1"/>
  <c r="F53" i="1" a="1"/>
  <c r="F53" i="1" s="1"/>
  <c r="H52" i="1" a="1"/>
  <c r="H52" i="1" s="1"/>
  <c r="K52" i="1" a="1"/>
  <c r="K52" i="1" s="1"/>
  <c r="J52" i="1" a="1"/>
  <c r="J52" i="1" s="1"/>
  <c r="I52" i="1" a="1"/>
  <c r="I52" i="1" s="1"/>
  <c r="G50" i="1" a="1"/>
  <c r="G50" i="1" s="1"/>
  <c r="G52" i="1" a="1"/>
  <c r="G52" i="1" s="1"/>
  <c r="F52" i="1" a="1"/>
  <c r="F52" i="1" s="1"/>
  <c r="K51" i="1" a="1"/>
  <c r="K51" i="1" s="1"/>
  <c r="H15" i="1" a="1"/>
  <c r="H15" i="1" s="1"/>
  <c r="G15" i="1" a="1"/>
  <c r="G15" i="1" s="1"/>
  <c r="I14" i="1" a="1"/>
  <c r="I14" i="1" s="1"/>
  <c r="F15" i="1" a="1"/>
  <c r="F15" i="1" s="1"/>
  <c r="I15" i="1" a="1"/>
  <c r="I15" i="1" s="1"/>
  <c r="K15" i="1" a="1"/>
  <c r="K15" i="1" s="1"/>
  <c r="K14" i="1" a="1"/>
  <c r="K14" i="1" s="1"/>
  <c r="G14" i="1" a="1"/>
  <c r="G14" i="1" s="1"/>
  <c r="J15" i="1" a="1"/>
  <c r="J15" i="1" s="1"/>
  <c r="H14" i="1" a="1"/>
  <c r="H14" i="1" s="1"/>
  <c r="J14" i="1" a="1"/>
  <c r="J14" i="1" s="1"/>
  <c r="F14" i="1" a="1"/>
  <c r="F14" i="1" s="1"/>
  <c r="K13" i="1" a="1"/>
  <c r="K13" i="1" s="1"/>
  <c r="J13" i="1" a="1"/>
  <c r="J13" i="1" s="1"/>
  <c r="I13" i="1" a="1"/>
  <c r="I13" i="1" s="1"/>
  <c r="H13" i="1" a="1"/>
  <c r="H13" i="1" s="1"/>
  <c r="G13" i="1" a="1"/>
  <c r="G13" i="1" s="1"/>
  <c r="F13" i="1" a="1"/>
  <c r="F13" i="1" s="1"/>
  <c r="F54" i="1" a="1"/>
  <c r="F54" i="1" s="1"/>
  <c r="I54" i="1" a="1"/>
  <c r="I54" i="1" s="1"/>
  <c r="K54" i="1" a="1"/>
  <c r="K54" i="1" s="1"/>
  <c r="J54" i="1" a="1"/>
  <c r="J54" i="1" s="1"/>
  <c r="H54" i="1" a="1"/>
  <c r="H54" i="1" s="1"/>
  <c r="G54" i="1" a="1"/>
  <c r="G54" i="1" s="1"/>
  <c r="K48" i="1" a="1"/>
  <c r="K48" i="1" s="1"/>
  <c r="H41" i="1" a="1"/>
  <c r="H41" i="1" s="1"/>
  <c r="K41" i="1" a="1"/>
  <c r="K41" i="1" s="1"/>
  <c r="F42" i="1" a="1"/>
  <c r="F42" i="1" s="1"/>
  <c r="J48" i="1" a="1"/>
  <c r="J48" i="1" s="1"/>
  <c r="F48" i="1" a="1"/>
  <c r="F48" i="1" s="1"/>
  <c r="K42" i="1" a="1"/>
  <c r="K42" i="1" s="1"/>
  <c r="I48" i="1" a="1"/>
  <c r="I48" i="1" s="1"/>
  <c r="H48" i="1" a="1"/>
  <c r="H48" i="1" s="1"/>
  <c r="I41" i="1" a="1"/>
  <c r="I41" i="1" s="1"/>
  <c r="K43" i="1" a="1"/>
  <c r="K43" i="1" s="1"/>
  <c r="I43" i="1" a="1"/>
  <c r="I43" i="1" s="1"/>
  <c r="G48" i="1" a="1"/>
  <c r="G48" i="1" s="1"/>
  <c r="J42" i="1" a="1"/>
  <c r="J42" i="1" s="1"/>
  <c r="H43" i="1" a="1"/>
  <c r="H43" i="1" s="1"/>
  <c r="H42" i="1" a="1"/>
  <c r="H42" i="1" s="1"/>
  <c r="I42" i="1" a="1"/>
  <c r="I42" i="1" s="1"/>
  <c r="F43" i="1" a="1"/>
  <c r="F43" i="1" s="1"/>
  <c r="G42" i="1" a="1"/>
  <c r="G42" i="1" s="1"/>
  <c r="G43" i="1" a="1"/>
  <c r="G43" i="1" s="1"/>
  <c r="J41" i="1" a="1"/>
  <c r="J41" i="1"/>
  <c r="J43" i="1" a="1"/>
  <c r="J43" i="1" s="1"/>
  <c r="K25" i="1" a="1"/>
  <c r="K25" i="1" s="1"/>
  <c r="G26" i="1" a="1"/>
  <c r="G26" i="1" s="1"/>
  <c r="F26" i="1" a="1"/>
  <c r="F26" i="1" s="1"/>
  <c r="H28" i="1" a="1"/>
  <c r="H28" i="1" s="1"/>
  <c r="J26" i="1" a="1"/>
  <c r="J26" i="1" s="1"/>
  <c r="K28" i="1" a="1"/>
  <c r="K28" i="1" s="1"/>
  <c r="J27" i="1" a="1"/>
  <c r="J27" i="1" s="1"/>
  <c r="F27" i="1" a="1"/>
  <c r="F27" i="1" s="1"/>
  <c r="I27" i="1" a="1"/>
  <c r="I27" i="1" s="1"/>
  <c r="H26" i="1" a="1"/>
  <c r="H26" i="1" s="1"/>
  <c r="I28" i="1" a="1"/>
  <c r="I28" i="1" s="1"/>
  <c r="F28" i="1" a="1"/>
  <c r="F28" i="1" s="1"/>
  <c r="G28" i="1" a="1"/>
  <c r="G28" i="1" s="1"/>
  <c r="G27" i="1" a="1"/>
  <c r="G27" i="1" s="1"/>
  <c r="K27" i="1" a="1"/>
  <c r="K27" i="1" s="1"/>
  <c r="J28" i="1" a="1"/>
  <c r="J28" i="1" s="1"/>
  <c r="K26" i="1" a="1"/>
  <c r="K26" i="1" s="1"/>
  <c r="I26" i="1" a="1"/>
  <c r="I26" i="1" s="1"/>
  <c r="G41" i="1" a="1"/>
  <c r="G41" i="1" s="1"/>
  <c r="H27" i="1" a="1"/>
  <c r="H27" i="1" s="1"/>
  <c r="F41" i="1" a="1"/>
  <c r="F41" i="1" s="1"/>
  <c r="F16" i="1" a="1"/>
  <c r="F16" i="1" s="1"/>
  <c r="F21" i="1" a="1"/>
  <c r="F21" i="1" s="1"/>
  <c r="F24" i="1" a="1"/>
  <c r="F24" i="1" s="1"/>
  <c r="I21" i="1" a="1"/>
  <c r="I21" i="1" s="1"/>
  <c r="K21" i="1" a="1"/>
  <c r="K21" i="1" s="1"/>
  <c r="H21" i="1" a="1"/>
  <c r="H21" i="1" s="1"/>
  <c r="H17" i="1" a="1"/>
  <c r="H17" i="1" s="1"/>
  <c r="I16" i="1" a="1"/>
  <c r="I16" i="1" s="1"/>
  <c r="H16" i="1" a="1"/>
  <c r="H16" i="1" s="1"/>
  <c r="G16" i="1" a="1"/>
  <c r="G16" i="1" s="1"/>
  <c r="I17" i="1" a="1"/>
  <c r="I17" i="1" s="1"/>
  <c r="J17" i="1" a="1"/>
  <c r="J17" i="1" s="1"/>
  <c r="K17" i="1" a="1"/>
  <c r="K17" i="1" s="1"/>
  <c r="J25" i="1" a="1"/>
  <c r="J25" i="1" s="1"/>
  <c r="I25" i="1" a="1"/>
  <c r="I25" i="1" s="1"/>
  <c r="H25" i="1" a="1"/>
  <c r="H25" i="1" s="1"/>
  <c r="F25" i="1" a="1"/>
  <c r="F25" i="1" s="1"/>
  <c r="J24" i="1" a="1"/>
  <c r="J24" i="1" s="1"/>
  <c r="G24" i="1" a="1"/>
  <c r="G24" i="1" s="1"/>
  <c r="J16" i="1" a="1"/>
  <c r="J16" i="1" s="1"/>
  <c r="G17" i="1" a="1"/>
  <c r="G17" i="1" s="1"/>
  <c r="G21" i="1" a="1"/>
  <c r="G21" i="1" s="1"/>
  <c r="J21" i="1" a="1"/>
  <c r="J21" i="1" s="1"/>
  <c r="K16" i="1" a="1"/>
  <c r="K16" i="1" s="1"/>
  <c r="F17" i="1" a="1"/>
  <c r="F17" i="1" s="1"/>
  <c r="G25" i="1" a="1"/>
  <c r="G25" i="1" s="1"/>
  <c r="K24" i="1" a="1"/>
  <c r="K24" i="1" s="1"/>
  <c r="I24" i="1" a="1"/>
  <c r="I24" i="1" s="1"/>
  <c r="H24" i="1" a="1"/>
  <c r="H24" i="1" s="1"/>
  <c r="H10" i="1" a="1"/>
  <c r="H10" i="1" s="1"/>
  <c r="F10" i="1" a="1"/>
  <c r="F10" i="1" s="1"/>
  <c r="H6" i="1" a="1"/>
  <c r="H6" i="1" s="1"/>
  <c r="G7" i="1" a="1"/>
  <c r="G7" i="1" s="1"/>
  <c r="G6" i="1" a="1"/>
  <c r="G6" i="1" s="1"/>
  <c r="K9" i="1" a="1"/>
  <c r="K9" i="1" s="1"/>
  <c r="J9" i="1" a="1"/>
  <c r="J9" i="1" s="1"/>
  <c r="K7" i="1" a="1"/>
  <c r="K7" i="1" s="1"/>
  <c r="F6" i="1" a="1"/>
  <c r="F6" i="1" s="1"/>
  <c r="G10" i="1" a="1"/>
  <c r="G10" i="1" s="1"/>
  <c r="G5" i="1" a="1"/>
  <c r="G5" i="1" s="1"/>
  <c r="F4" i="1" a="1"/>
  <c r="F4" i="1" s="1"/>
  <c r="H7" i="1" a="1"/>
  <c r="H7" i="1" s="1"/>
  <c r="H5" i="1" a="1"/>
  <c r="H5" i="1" s="1"/>
  <c r="H4" i="1" a="1"/>
  <c r="H4" i="1" s="1"/>
  <c r="I4" i="1" a="1"/>
  <c r="I4" i="1" s="1"/>
  <c r="G9" i="1" a="1"/>
  <c r="G9" i="1" s="1"/>
  <c r="K6" i="1" a="1"/>
  <c r="K6" i="1" s="1"/>
  <c r="K4" i="1" a="1"/>
  <c r="K4" i="1" s="1"/>
  <c r="H9" i="1" a="1"/>
  <c r="H9" i="1" s="1"/>
  <c r="K11" i="1" a="1"/>
  <c r="K11" i="1" s="1"/>
  <c r="I9" i="1" a="1"/>
  <c r="I9" i="1" s="1"/>
  <c r="J11" i="1" a="1"/>
  <c r="J11" i="1" s="1"/>
  <c r="I7" i="1" a="1"/>
  <c r="I7" i="1" s="1"/>
  <c r="F9" i="1" a="1"/>
  <c r="F9" i="1" s="1"/>
  <c r="G11" i="1" a="1"/>
  <c r="G11" i="1" s="1"/>
  <c r="I5" i="1" a="1"/>
  <c r="I5" i="1" s="1"/>
  <c r="I11" i="1" a="1"/>
  <c r="I11" i="1" s="1"/>
  <c r="K10" i="1" a="1"/>
  <c r="K10" i="1"/>
  <c r="K5" i="1" a="1"/>
  <c r="K5" i="1" s="1"/>
  <c r="F7" i="1" a="1"/>
  <c r="F7" i="1" s="1"/>
  <c r="J7" i="1" a="1"/>
  <c r="J7" i="1" s="1"/>
  <c r="J6" i="1" a="1"/>
  <c r="J6" i="1"/>
  <c r="J5" i="1" a="1"/>
  <c r="J5" i="1" s="1"/>
  <c r="H11" i="1" a="1"/>
  <c r="H11" i="1" s="1"/>
  <c r="I6" i="1" a="1"/>
  <c r="I6" i="1" s="1"/>
  <c r="F11" i="1" a="1"/>
  <c r="F11" i="1" s="1"/>
  <c r="J4" i="1" a="1"/>
  <c r="J4" i="1" s="1"/>
  <c r="J10" i="1" a="1"/>
  <c r="J10" i="1" s="1"/>
  <c r="G4" i="1" a="1"/>
  <c r="G4" i="1"/>
  <c r="I10" i="1" a="1"/>
  <c r="I10" i="1" s="1"/>
  <c r="F5" i="1" a="1"/>
  <c r="F5" i="1" s="1"/>
  <c r="J123" i="1" l="1"/>
  <c r="J319" i="1"/>
  <c r="J474" i="1" s="1"/>
  <c r="I123" i="1"/>
  <c r="I319" i="1"/>
  <c r="I474" i="1" s="1"/>
  <c r="H123" i="1"/>
  <c r="H319" i="1"/>
  <c r="H474" i="1" s="1"/>
  <c r="K122" i="1"/>
  <c r="K318" i="1"/>
  <c r="K473" i="1" s="1"/>
  <c r="I122" i="1"/>
  <c r="I318" i="1"/>
  <c r="I473" i="1" s="1"/>
  <c r="H122" i="1"/>
  <c r="H318" i="1"/>
  <c r="H473" i="1" s="1"/>
  <c r="F122" i="1"/>
  <c r="F318" i="1"/>
  <c r="F473" i="1" s="1"/>
  <c r="G120" i="1"/>
  <c r="G316" i="1"/>
  <c r="G471" i="1" s="1"/>
  <c r="H116" i="1"/>
  <c r="H312" i="1"/>
  <c r="H417" i="1" s="1"/>
  <c r="G116" i="1"/>
  <c r="G312" i="1"/>
  <c r="G417" i="1" s="1"/>
  <c r="I900" i="1"/>
  <c r="G900" i="1"/>
  <c r="F383" i="1"/>
  <c r="F514" i="1" s="1"/>
  <c r="J323" i="1"/>
  <c r="J478" i="1" s="1"/>
  <c r="G323" i="1"/>
  <c r="G478" i="1" s="1"/>
  <c r="J322" i="1"/>
  <c r="J477" i="1" s="1"/>
  <c r="F322" i="1"/>
  <c r="F477" i="1" s="1"/>
  <c r="I321" i="1"/>
  <c r="I476" i="1" s="1"/>
  <c r="H320" i="1"/>
  <c r="H475" i="1" s="1"/>
  <c r="K319" i="1"/>
  <c r="K474" i="1" s="1"/>
  <c r="F316" i="1"/>
  <c r="F471" i="1" s="1"/>
  <c r="F299" i="1"/>
  <c r="F463" i="1" s="1"/>
  <c r="J313" i="1"/>
  <c r="J418" i="1" s="1"/>
  <c r="G313" i="1"/>
  <c r="G418" i="1" s="1"/>
  <c r="H359" i="1"/>
  <c r="H426" i="1" s="1"/>
  <c r="K315" i="1"/>
  <c r="K470" i="1" s="1"/>
  <c r="G315" i="1"/>
  <c r="G470" i="1" s="1"/>
  <c r="G724" i="1" a="1"/>
  <c r="G724" i="1" s="1"/>
  <c r="G726" i="1" s="1" a="1"/>
  <c r="G726" i="1" s="1"/>
  <c r="F740" i="1" a="1"/>
  <c r="F740" i="1" s="1"/>
  <c r="F742" i="1" s="1" a="1"/>
  <c r="F742" i="1" s="1"/>
  <c r="H784" i="1"/>
  <c r="H785" i="1" s="1"/>
  <c r="H781" i="1"/>
  <c r="G781" i="1"/>
  <c r="G784" i="1"/>
  <c r="G785" i="1" s="1"/>
  <c r="I784" i="1"/>
  <c r="I785" i="1" s="1"/>
  <c r="I781" i="1"/>
  <c r="I320" i="1"/>
  <c r="I475" i="1" s="1"/>
  <c r="I124" i="1"/>
  <c r="F317" i="1"/>
  <c r="F472" i="1" s="1"/>
  <c r="F121" i="1"/>
  <c r="F312" i="1"/>
  <c r="F417" i="1" s="1"/>
  <c r="F116" i="1"/>
  <c r="J239" i="1"/>
  <c r="J315" i="1"/>
  <c r="J470" i="1" s="1"/>
  <c r="F362" i="1"/>
  <c r="F272" i="1"/>
  <c r="F361" i="1" s="1"/>
  <c r="F502" i="1" s="1"/>
  <c r="F381" i="1"/>
  <c r="F512" i="1" s="1"/>
  <c r="H724" i="1" a="1"/>
  <c r="H724" i="1" s="1"/>
  <c r="H726" i="1" s="1" a="1"/>
  <c r="H726" i="1" s="1"/>
  <c r="H740" i="1" a="1"/>
  <c r="H740" i="1" s="1"/>
  <c r="H742" i="1" s="1" a="1"/>
  <c r="H742" i="1" s="1"/>
  <c r="H381" i="1"/>
  <c r="H512" i="1" s="1"/>
  <c r="J724" i="1" a="1"/>
  <c r="J724" i="1" s="1"/>
  <c r="J726" i="1" s="1" a="1"/>
  <c r="J726" i="1" s="1"/>
  <c r="J740" i="1" a="1"/>
  <c r="J740" i="1" s="1"/>
  <c r="J742" i="1" s="1" a="1"/>
  <c r="J742" i="1" s="1"/>
  <c r="K359" i="1"/>
  <c r="K426" i="1" s="1"/>
  <c r="K381" i="1"/>
  <c r="K512" i="1" s="1"/>
  <c r="K724" i="1" a="1"/>
  <c r="K724" i="1" s="1"/>
  <c r="K726" i="1" s="1" a="1"/>
  <c r="K726" i="1" s="1"/>
  <c r="K740" i="1" a="1"/>
  <c r="K740" i="1" s="1"/>
  <c r="K742" i="1" s="1" a="1"/>
  <c r="K742" i="1" s="1"/>
  <c r="I360" i="1"/>
  <c r="I427" i="1" s="1"/>
  <c r="J314" i="1"/>
  <c r="J469" i="1" s="1"/>
  <c r="K362" i="1"/>
  <c r="K272" i="1"/>
  <c r="K361" i="1" s="1"/>
  <c r="K502" i="1" s="1"/>
  <c r="F196" i="1"/>
  <c r="F359" i="1" s="1"/>
  <c r="F426" i="1" s="1"/>
  <c r="F360" i="1"/>
  <c r="F427" i="1" s="1"/>
  <c r="I313" i="1"/>
  <c r="I418" i="1" s="1"/>
  <c r="I117" i="1"/>
  <c r="G320" i="1"/>
  <c r="G475" i="1" s="1"/>
  <c r="G124" i="1"/>
  <c r="I381" i="1"/>
  <c r="I512" i="1" s="1"/>
  <c r="K384" i="1"/>
  <c r="K515" i="1" s="1"/>
  <c r="J362" i="1"/>
  <c r="K313" i="1"/>
  <c r="K418" i="1" s="1"/>
  <c r="G317" i="1"/>
  <c r="G472" i="1" s="1"/>
  <c r="G121" i="1"/>
  <c r="K127" i="1"/>
  <c r="K323" i="1"/>
  <c r="K478" i="1" s="1"/>
  <c r="G360" i="1"/>
  <c r="G427" i="1" s="1"/>
  <c r="H313" i="1"/>
  <c r="H418" i="1" s="1"/>
  <c r="H117" i="1"/>
  <c r="F127" i="1"/>
  <c r="G118" i="1"/>
  <c r="K320" i="1"/>
  <c r="K475" i="1" s="1"/>
  <c r="K124" i="1"/>
  <c r="K120" i="1"/>
  <c r="J317" i="1"/>
  <c r="J472" i="1" s="1"/>
  <c r="J121" i="1"/>
  <c r="F321" i="1"/>
  <c r="F476" i="1" s="1"/>
  <c r="J360" i="1"/>
  <c r="J427" i="1" s="1"/>
  <c r="I239" i="1"/>
  <c r="I314" i="1" s="1"/>
  <c r="I469" i="1" s="1"/>
  <c r="I118" i="1"/>
  <c r="K317" i="1"/>
  <c r="K472" i="1" s="1"/>
  <c r="K121" i="1"/>
  <c r="K360" i="1"/>
  <c r="K427" i="1" s="1"/>
  <c r="I312" i="1"/>
  <c r="I417" i="1" s="1"/>
  <c r="K781" i="1"/>
  <c r="K784" i="1"/>
  <c r="K785" i="1" s="1"/>
  <c r="F124" i="1"/>
  <c r="F320" i="1"/>
  <c r="F475" i="1" s="1"/>
  <c r="I740" i="1" a="1"/>
  <c r="I740" i="1" s="1"/>
  <c r="I742" i="1" s="1" a="1"/>
  <c r="I742" i="1" s="1"/>
  <c r="H321" i="1"/>
  <c r="H476" i="1" s="1"/>
  <c r="I121" i="1"/>
  <c r="G239" i="1"/>
  <c r="G314" i="1" s="1"/>
  <c r="G469" i="1" s="1"/>
  <c r="F313" i="1"/>
  <c r="F418" i="1" s="1"/>
  <c r="G318" i="1"/>
  <c r="G473" i="1" s="1"/>
  <c r="H239" i="1"/>
  <c r="F315" i="1"/>
  <c r="F470" i="1" s="1"/>
  <c r="H314" i="1"/>
  <c r="H469" i="1" s="1"/>
  <c r="G298" i="1"/>
  <c r="G411" i="1" s="1"/>
  <c r="I361" i="1"/>
  <c r="I502" i="1" s="1"/>
  <c r="H315" i="1"/>
  <c r="H470" i="1" s="1"/>
  <c r="F380" i="1"/>
  <c r="F511" i="1" s="1"/>
  <c r="I397" i="1"/>
  <c r="I517" i="1" s="1"/>
  <c r="J359" i="1"/>
  <c r="J426" i="1" s="1"/>
  <c r="F781" i="1"/>
  <c r="F724" i="1" a="1"/>
  <c r="F724" i="1" s="1"/>
  <c r="F726" i="1" s="1" a="1"/>
  <c r="F726" i="1" s="1"/>
  <c r="G319" i="1"/>
  <c r="G474" i="1" s="1"/>
  <c r="G123" i="1"/>
  <c r="I322" i="1"/>
  <c r="I477" i="1" s="1"/>
  <c r="I126" i="1"/>
  <c r="I380" i="1"/>
  <c r="I511" i="1" s="1"/>
  <c r="K117" i="1"/>
  <c r="J381" i="1"/>
  <c r="J512" i="1" s="1"/>
  <c r="G359" i="1"/>
  <c r="G426" i="1" s="1"/>
  <c r="I362" i="1"/>
  <c r="G384" i="1"/>
  <c r="G515" i="1" s="1"/>
  <c r="H323" i="1"/>
  <c r="H478" i="1" s="1"/>
  <c r="H316" i="1"/>
  <c r="H471" i="1" s="1"/>
  <c r="H120" i="1"/>
  <c r="J316" i="1"/>
  <c r="J471" i="1" s="1"/>
  <c r="I323" i="1"/>
  <c r="I478" i="1" s="1"/>
  <c r="J781" i="1"/>
  <c r="J784" i="1"/>
  <c r="J785" i="1" s="1"/>
  <c r="G381" i="1"/>
  <c r="G512" i="1" s="1"/>
  <c r="J900" i="1"/>
  <c r="J923" i="1"/>
  <c r="J922" i="1" s="1"/>
  <c r="J897" i="1"/>
  <c r="J901" i="1"/>
  <c r="J116" i="1"/>
  <c r="K116" i="1"/>
  <c r="I316" i="1"/>
  <c r="I471" i="1" s="1"/>
  <c r="H298" i="1"/>
  <c r="H411" i="1" s="1"/>
  <c r="I315" i="1"/>
  <c r="I470" i="1" s="1"/>
  <c r="H900" i="1"/>
  <c r="H923" i="1"/>
  <c r="H922" i="1" s="1"/>
  <c r="H897" i="1"/>
  <c r="H901" i="1"/>
  <c r="H362" i="1"/>
  <c r="K380" i="1"/>
  <c r="K511" i="1" s="1"/>
  <c r="I398" i="1"/>
  <c r="I518" i="1" s="1"/>
  <c r="G122" i="1"/>
  <c r="K126" i="1"/>
  <c r="F119" i="1"/>
  <c r="J122" i="1"/>
  <c r="F314" i="1"/>
  <c r="F469" i="1" s="1"/>
  <c r="H317" i="1"/>
  <c r="H472" i="1" s="1"/>
  <c r="J320" i="1"/>
  <c r="J475" i="1" s="1"/>
  <c r="H360" i="1"/>
  <c r="H427" i="1" s="1"/>
  <c r="J378" i="1"/>
  <c r="J435" i="1" s="1"/>
  <c r="F382" i="1"/>
  <c r="F513" i="1" s="1"/>
  <c r="H119" i="1"/>
  <c r="I901" i="1"/>
  <c r="G897" i="1"/>
  <c r="F893" i="1"/>
  <c r="K901" i="1"/>
  <c r="F319" i="1"/>
  <c r="F474" i="1" s="1"/>
  <c r="I897" i="1"/>
  <c r="K897" i="1"/>
  <c r="F923" i="1"/>
  <c r="F922" i="1" s="1"/>
  <c r="G923" i="1"/>
  <c r="G922" i="1" s="1"/>
  <c r="K923" i="1"/>
  <c r="K922" i="1" s="1"/>
  <c r="F900" i="1" l="1"/>
  <c r="F897" i="1"/>
  <c r="F901" i="1"/>
  <c r="C2029" i="1" l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I1858" i="1" l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7" i="1" s="1"/>
  <c r="K2019" i="1"/>
  <c r="F1881" i="1"/>
  <c r="F1880" i="1" s="1"/>
  <c r="K1886" i="1"/>
  <c r="K1881" i="1"/>
  <c r="K1880" i="1" s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F1857" i="1" s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F1838" i="1" l="1"/>
  <c r="I1857" i="1"/>
  <c r="K1838" i="1"/>
  <c r="H1838" i="1"/>
  <c r="K1857" i="1"/>
  <c r="G1838" i="1"/>
  <c r="I1880" i="1"/>
  <c r="I1838" i="1"/>
  <c r="G1880" i="1"/>
  <c r="G1857" i="1"/>
  <c r="J1857" i="1"/>
  <c r="H1857" i="1"/>
  <c r="F1819" i="1"/>
  <c r="F1818" i="1" s="1"/>
  <c r="J1838" i="1"/>
  <c r="K1819" i="1"/>
  <c r="K1818" i="1" s="1"/>
  <c r="I1819" i="1"/>
  <c r="J1819" i="1"/>
  <c r="H1819" i="1"/>
  <c r="G1819" i="1"/>
  <c r="G1818" i="1" s="1"/>
  <c r="H1818" i="1" l="1"/>
  <c r="J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F1651" i="1" l="1"/>
  <c r="G1651" i="1"/>
  <c r="H1651" i="1"/>
  <c r="I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F1657" i="1" l="1"/>
  <c r="H1657" i="1"/>
  <c r="G1657" i="1"/>
  <c r="I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H1569" i="1" l="1"/>
  <c r="I1569" i="1"/>
  <c r="G1616" i="1"/>
  <c r="G1569" i="1"/>
  <c r="H1616" i="1"/>
  <c r="F1616" i="1"/>
  <c r="I1616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601" i="1" l="1"/>
  <c r="H1561" i="1"/>
  <c r="G1601" i="1"/>
  <c r="G1554" i="1"/>
  <c r="F1608" i="1"/>
  <c r="I1608" i="1"/>
  <c r="F1601" i="1"/>
  <c r="G1561" i="1"/>
  <c r="I1561" i="1"/>
  <c r="F1561" i="1"/>
  <c r="H1608" i="1"/>
  <c r="F1554" i="1"/>
  <c r="I1554" i="1"/>
  <c r="G1608" i="1"/>
  <c r="I1601" i="1"/>
  <c r="H1554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I1510" i="1" l="1"/>
  <c r="H1510" i="1"/>
  <c r="G1510" i="1"/>
  <c r="F1510" i="1"/>
  <c r="G1427" i="1"/>
  <c r="F1413" i="1"/>
  <c r="I1427" i="1"/>
  <c r="H1413" i="1"/>
  <c r="H1427" i="1"/>
  <c r="G1413" i="1"/>
  <c r="I1413" i="1"/>
  <c r="F1427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29" i="1" l="1"/>
  <c r="H1329" i="1"/>
  <c r="I1329" i="1"/>
  <c r="F1329" i="1"/>
  <c r="H1343" i="1"/>
  <c r="I1343" i="1"/>
  <c r="F1343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H1182" i="1" l="1"/>
  <c r="G1205" i="1"/>
  <c r="I1182" i="1"/>
  <c r="G1182" i="1"/>
  <c r="H1205" i="1"/>
  <c r="I1205" i="1"/>
  <c r="F1205" i="1"/>
  <c r="F1182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I1159" i="1"/>
  <c r="F1159" i="1"/>
  <c r="G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C211" i="1"/>
  <c r="C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K1003" i="1" l="1"/>
  <c r="K1000" i="1" s="1"/>
  <c r="K1005" i="1"/>
  <c r="K1004" i="1" s="1"/>
  <c r="J1012" i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G1050" i="1"/>
  <c r="G1047" i="1" s="1"/>
  <c r="G1048" i="1" s="1"/>
  <c r="H1050" i="1"/>
  <c r="H1047" i="1" s="1"/>
  <c r="H104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124" i="1" l="1"/>
  <c r="K1011" i="1"/>
  <c r="J1124" i="1"/>
  <c r="J1004" i="1"/>
  <c r="J1011" i="1"/>
  <c r="K1001" i="1"/>
  <c r="K999" i="1"/>
  <c r="K998" i="1" s="1"/>
  <c r="I1001" i="1"/>
  <c r="J998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K1008" i="1" l="1"/>
  <c r="K1007" i="1" s="1"/>
  <c r="K1010" i="1"/>
  <c r="J1008" i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E710" i="1"/>
  <c r="C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K713" i="1"/>
  <c r="J713" i="1"/>
  <c r="C697" i="1"/>
  <c r="C698" i="1" s="1"/>
  <c r="C699" i="1" s="1"/>
  <c r="C700" i="1" s="1"/>
  <c r="C701" i="1" s="1"/>
  <c r="C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F713" i="1" l="1"/>
  <c r="G713" i="1"/>
  <c r="H713" i="1"/>
  <c r="I713" i="1"/>
  <c r="I730" i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F678" i="1"/>
  <c r="J693" i="1"/>
  <c r="I693" i="1"/>
  <c r="K684" i="1"/>
  <c r="F693" i="1"/>
  <c r="H693" i="1"/>
  <c r="G678" i="1"/>
  <c r="K693" i="1"/>
  <c r="F684" i="1"/>
  <c r="K678" i="1"/>
  <c r="H678" i="1"/>
  <c r="I678" i="1"/>
  <c r="J684" i="1"/>
  <c r="C680" i="1"/>
  <c r="C663" i="1"/>
  <c r="C682" i="1"/>
  <c r="C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4" i="1" l="1" a="1"/>
  <c r="J734" i="1" s="1"/>
  <c r="J743" i="1" s="1"/>
  <c r="J736" i="1" a="1"/>
  <c r="J736" i="1" s="1"/>
  <c r="J756" i="1" s="1"/>
  <c r="K734" i="1" a="1"/>
  <c r="K734" i="1" s="1"/>
  <c r="K736" i="1" a="1"/>
  <c r="K73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47" i="1"/>
  <c r="J744" i="1"/>
  <c r="J74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50" i="1" l="1"/>
  <c r="J749" i="1"/>
  <c r="J752" i="1"/>
  <c r="J753" i="1"/>
  <c r="J751" i="1"/>
  <c r="J754" i="1"/>
  <c r="K622" i="1"/>
  <c r="J622" i="1"/>
  <c r="C783" i="1"/>
  <c r="C784" i="1" s="1"/>
  <c r="C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H10" i="4" l="1"/>
  <c r="C10" i="4"/>
  <c r="G10" i="4"/>
  <c r="F10" i="4"/>
  <c r="E10" i="4"/>
  <c r="D10" i="4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K504" i="1"/>
  <c r="J504" i="1"/>
  <c r="I504" i="1"/>
  <c r="H504" i="1"/>
  <c r="G504" i="1"/>
  <c r="F504" i="1"/>
  <c r="C895" i="1" l="1"/>
  <c r="C896" i="1" s="1"/>
  <c r="C897" i="1" s="1"/>
  <c r="C894" i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C899" i="1"/>
  <c r="C900" i="1" s="1"/>
  <c r="C898" i="1"/>
  <c r="C953" i="1" l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C920" i="1" l="1"/>
  <c r="C921" i="1" s="1"/>
  <c r="C922" i="1" s="1"/>
  <c r="C970" i="1" s="1"/>
  <c r="C971" i="1" s="1"/>
  <c r="C918" i="1"/>
  <c r="C919" i="1" s="1"/>
  <c r="C923" i="1" l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6" i="1" l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C1150" i="1" l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C1156" i="1" l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J892" i="1"/>
  <c r="J898" i="1"/>
  <c r="I892" i="1"/>
  <c r="I898" i="1"/>
  <c r="H892" i="1"/>
  <c r="H898" i="1"/>
  <c r="G892" i="1"/>
  <c r="G898" i="1"/>
  <c r="K892" i="1"/>
  <c r="K898" i="1"/>
  <c r="C1206" i="1" l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C1506" i="1" l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C1753" i="1" l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F890" i="1"/>
  <c r="G890" i="1"/>
  <c r="H890" i="1"/>
  <c r="I890" i="1"/>
  <c r="J890" i="1"/>
  <c r="K890" i="1"/>
  <c r="C1788" i="1" l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C1809" i="1" l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K1041" i="1" s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H1041" i="1" l="1"/>
  <c r="G1041" i="1"/>
  <c r="F1041" i="1"/>
  <c r="F1093" i="1" s="1"/>
  <c r="K1093" i="1"/>
  <c r="K1094" i="1"/>
  <c r="K1095" i="1"/>
  <c r="I1094" i="1"/>
  <c r="I1093" i="1"/>
  <c r="I1095" i="1"/>
  <c r="J1093" i="1"/>
  <c r="J1095" i="1"/>
  <c r="J1094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H1045" i="1" l="1"/>
  <c r="H1069" i="1"/>
  <c r="G1068" i="1"/>
  <c r="G1095" i="1"/>
  <c r="G1094" i="1"/>
  <c r="G1093" i="1"/>
  <c r="G1045" i="1"/>
  <c r="G1069" i="1"/>
  <c r="H1068" i="1"/>
  <c r="H1095" i="1"/>
  <c r="H1094" i="1"/>
  <c r="H1093" i="1"/>
  <c r="H1067" i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G1615" i="1" l="1"/>
  <c r="G1568" i="1"/>
  <c r="G1426" i="1"/>
  <c r="G1342" i="1"/>
  <c r="G1204" i="1"/>
  <c r="I1568" i="1"/>
  <c r="I1567" i="1" s="1"/>
  <c r="I1566" i="1" s="1"/>
  <c r="I1615" i="1"/>
  <c r="I1614" i="1" s="1"/>
  <c r="I1613" i="1" s="1"/>
  <c r="I1426" i="1"/>
  <c r="I1425" i="1" s="1"/>
  <c r="I1424" i="1" s="1"/>
  <c r="I1342" i="1"/>
  <c r="I1341" i="1" s="1"/>
  <c r="I1340" i="1" s="1"/>
  <c r="I1204" i="1"/>
  <c r="I1203" i="1" s="1"/>
  <c r="I1202" i="1" s="1"/>
  <c r="F1568" i="1"/>
  <c r="F1615" i="1"/>
  <c r="F1426" i="1"/>
  <c r="F1342" i="1"/>
  <c r="F1204" i="1"/>
  <c r="H1568" i="1"/>
  <c r="H1567" i="1" s="1"/>
  <c r="H1566" i="1" s="1"/>
  <c r="H1615" i="1"/>
  <c r="H1614" i="1" s="1"/>
  <c r="H1613" i="1" s="1"/>
  <c r="H1426" i="1"/>
  <c r="H1425" i="1" s="1"/>
  <c r="H1424" i="1" s="1"/>
  <c r="H1342" i="1"/>
  <c r="H1341" i="1" s="1"/>
  <c r="H1340" i="1" s="1"/>
  <c r="H1204" i="1"/>
  <c r="H1203" i="1" s="1"/>
  <c r="H1202" i="1" s="1"/>
  <c r="G1614" i="1"/>
  <c r="G1613" i="1" s="1"/>
  <c r="G1567" i="1"/>
  <c r="G1566" i="1" s="1"/>
  <c r="G1425" i="1"/>
  <c r="G1424" i="1" s="1"/>
  <c r="G1341" i="1"/>
  <c r="G1340" i="1" s="1"/>
  <c r="G1203" i="1"/>
  <c r="G1202" i="1" s="1"/>
  <c r="F1614" i="1"/>
  <c r="F1613" i="1" s="1"/>
  <c r="F1567" i="1"/>
  <c r="F1566" i="1" s="1"/>
  <c r="F1425" i="1"/>
  <c r="F1424" i="1" s="1"/>
  <c r="F1341" i="1"/>
  <c r="F1340" i="1" s="1"/>
  <c r="F1203" i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731" i="1" l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J1204" i="1" l="1"/>
  <c r="J1615" i="1"/>
  <c r="J1426" i="1"/>
  <c r="J1342" i="1"/>
  <c r="K1427" i="1"/>
  <c r="K1343" i="1"/>
  <c r="K1569" i="1"/>
  <c r="K1205" i="1"/>
  <c r="K1616" i="1"/>
  <c r="K1204" i="1"/>
  <c r="K1342" i="1"/>
  <c r="K1426" i="1"/>
  <c r="K1615" i="1"/>
  <c r="K1568" i="1"/>
  <c r="J1616" i="1"/>
  <c r="J1427" i="1"/>
  <c r="J1343" i="1"/>
  <c r="J1205" i="1"/>
  <c r="J1569" i="1"/>
  <c r="J1568" i="1"/>
  <c r="J1567" i="1" s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H1650" i="1" l="1"/>
  <c r="H1600" i="1"/>
  <c r="H1553" i="1"/>
  <c r="H1509" i="1"/>
  <c r="H1158" i="1"/>
  <c r="F1650" i="1"/>
  <c r="F1649" i="1" s="1"/>
  <c r="F1600" i="1"/>
  <c r="F1599" i="1" s="1"/>
  <c r="F1598" i="1" s="1"/>
  <c r="F1553" i="1"/>
  <c r="F1552" i="1" s="1"/>
  <c r="F1551" i="1" s="1"/>
  <c r="F1509" i="1"/>
  <c r="F1508" i="1" s="1"/>
  <c r="F1507" i="1" s="1"/>
  <c r="F1158" i="1"/>
  <c r="F1157" i="1" s="1"/>
  <c r="F1156" i="1" s="1"/>
  <c r="G1650" i="1"/>
  <c r="G1649" i="1" s="1"/>
  <c r="G1600" i="1"/>
  <c r="G1599" i="1" s="1"/>
  <c r="G1598" i="1" s="1"/>
  <c r="G1553" i="1"/>
  <c r="G1552" i="1" s="1"/>
  <c r="G1551" i="1" s="1"/>
  <c r="G1509" i="1"/>
  <c r="G1508" i="1" s="1"/>
  <c r="G1507" i="1" s="1"/>
  <c r="G1158" i="1"/>
  <c r="G1157" i="1" s="1"/>
  <c r="G1156" i="1" s="1"/>
  <c r="H1656" i="1"/>
  <c r="H1607" i="1"/>
  <c r="H1606" i="1" s="1"/>
  <c r="H1605" i="1" s="1"/>
  <c r="H1560" i="1"/>
  <c r="H1559" i="1" s="1"/>
  <c r="H1558" i="1" s="1"/>
  <c r="H1412" i="1"/>
  <c r="H1411" i="1" s="1"/>
  <c r="H1410" i="1" s="1"/>
  <c r="H1328" i="1"/>
  <c r="H1327" i="1" s="1"/>
  <c r="H1326" i="1" s="1"/>
  <c r="H1181" i="1"/>
  <c r="H1180" i="1" s="1"/>
  <c r="H1179" i="1" s="1"/>
  <c r="I1650" i="1"/>
  <c r="I1649" i="1" s="1"/>
  <c r="I1600" i="1"/>
  <c r="I1553" i="1"/>
  <c r="I1509" i="1"/>
  <c r="I1508" i="1" s="1"/>
  <c r="I1507" i="1" s="1"/>
  <c r="I1158" i="1"/>
  <c r="I1157" i="1" s="1"/>
  <c r="I1156" i="1" s="1"/>
  <c r="F1656" i="1"/>
  <c r="F1560" i="1"/>
  <c r="F1559" i="1" s="1"/>
  <c r="F1558" i="1" s="1"/>
  <c r="F1607" i="1"/>
  <c r="F1606" i="1" s="1"/>
  <c r="F1605" i="1" s="1"/>
  <c r="F1412" i="1"/>
  <c r="F1411" i="1" s="1"/>
  <c r="F1410" i="1" s="1"/>
  <c r="F1328" i="1"/>
  <c r="F1327" i="1" s="1"/>
  <c r="F1326" i="1" s="1"/>
  <c r="F1181" i="1"/>
  <c r="F1180" i="1" s="1"/>
  <c r="F1179" i="1" s="1"/>
  <c r="G1656" i="1"/>
  <c r="G1607" i="1"/>
  <c r="G1606" i="1" s="1"/>
  <c r="G1605" i="1" s="1"/>
  <c r="G1560" i="1"/>
  <c r="G1559" i="1" s="1"/>
  <c r="G1558" i="1" s="1"/>
  <c r="G1412" i="1"/>
  <c r="G1411" i="1" s="1"/>
  <c r="G1410" i="1" s="1"/>
  <c r="G1328" i="1"/>
  <c r="G1327" i="1" s="1"/>
  <c r="G1326" i="1" s="1"/>
  <c r="G1181" i="1"/>
  <c r="G1180" i="1" s="1"/>
  <c r="G1179" i="1" s="1"/>
  <c r="I1656" i="1"/>
  <c r="I1607" i="1"/>
  <c r="I1606" i="1" s="1"/>
  <c r="I1605" i="1" s="1"/>
  <c r="I1560" i="1"/>
  <c r="I1559" i="1" s="1"/>
  <c r="I1558" i="1" s="1"/>
  <c r="I1412" i="1"/>
  <c r="I1411" i="1" s="1"/>
  <c r="I1410" i="1" s="1"/>
  <c r="I1328" i="1"/>
  <c r="I1327" i="1" s="1"/>
  <c r="I1326" i="1" s="1"/>
  <c r="I1181" i="1"/>
  <c r="I1180" i="1" s="1"/>
  <c r="I1179" i="1" s="1"/>
  <c r="I1552" i="1"/>
  <c r="I1551" i="1" s="1"/>
  <c r="I1599" i="1"/>
  <c r="I1598" i="1" s="1"/>
  <c r="H1649" i="1"/>
  <c r="H1157" i="1"/>
  <c r="H1156" i="1" s="1"/>
  <c r="H1552" i="1"/>
  <c r="H1551" i="1" s="1"/>
  <c r="H1599" i="1"/>
  <c r="H1598" i="1" s="1"/>
  <c r="H1508" i="1"/>
  <c r="H1507" i="1" s="1"/>
  <c r="H1720" i="1"/>
  <c r="I1720" i="1"/>
  <c r="F1720" i="1"/>
  <c r="H1719" i="1"/>
  <c r="G1720" i="1"/>
  <c r="F1719" i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39" i="1" l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K37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J22" i="1"/>
  <c r="I22" i="1"/>
  <c r="H22" i="1"/>
  <c r="J32" i="1"/>
  <c r="J1718" i="1" s="1"/>
  <c r="K32" i="1"/>
  <c r="K1718" i="1" s="1"/>
  <c r="J36" i="1"/>
  <c r="K36" i="1"/>
  <c r="K1607" i="1" l="1"/>
  <c r="K1656" i="1"/>
  <c r="K1560" i="1"/>
  <c r="K1412" i="1"/>
  <c r="J1607" i="1"/>
  <c r="J1328" i="1"/>
  <c r="J1181" i="1"/>
  <c r="J1412" i="1"/>
  <c r="K1601" i="1"/>
  <c r="K1651" i="1"/>
  <c r="K1554" i="1"/>
  <c r="K1159" i="1"/>
  <c r="K1510" i="1"/>
  <c r="J1554" i="1"/>
  <c r="J1601" i="1"/>
  <c r="J1651" i="1"/>
  <c r="J1510" i="1"/>
  <c r="J1159" i="1"/>
  <c r="K1509" i="1"/>
  <c r="K1650" i="1"/>
  <c r="J1650" i="1"/>
  <c r="K1553" i="1"/>
  <c r="K1552" i="1" s="1"/>
  <c r="K1551" i="1" s="1"/>
  <c r="J1553" i="1"/>
  <c r="J1509" i="1"/>
  <c r="J1600" i="1"/>
  <c r="K1158" i="1"/>
  <c r="J1158" i="1"/>
  <c r="J1157" i="1" s="1"/>
  <c r="J1156" i="1" s="1"/>
  <c r="K1182" i="1"/>
  <c r="K1561" i="1"/>
  <c r="K1329" i="1"/>
  <c r="K1413" i="1"/>
  <c r="K1608" i="1"/>
  <c r="K1657" i="1"/>
  <c r="J1329" i="1"/>
  <c r="J1182" i="1"/>
  <c r="J1561" i="1"/>
  <c r="J1608" i="1"/>
  <c r="J1413" i="1"/>
  <c r="J1657" i="1"/>
  <c r="K1181" i="1"/>
  <c r="J1560" i="1"/>
  <c r="K1600" i="1"/>
  <c r="K1328" i="1"/>
  <c r="J1656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J1599" i="1" l="1"/>
  <c r="J1598" i="1" s="1"/>
  <c r="K1649" i="1"/>
  <c r="K1599" i="1"/>
  <c r="K1598" i="1" s="1"/>
  <c r="K1606" i="1"/>
  <c r="K1605" i="1" s="1"/>
  <c r="K1655" i="1"/>
  <c r="J1655" i="1"/>
  <c r="J1606" i="1"/>
  <c r="J1605" i="1" s="1"/>
  <c r="J1649" i="1"/>
  <c r="K1648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44" i="1"/>
  <c r="A46" i="1" s="1"/>
  <c r="J1648" i="1" l="1"/>
  <c r="J1654" i="1"/>
  <c r="K1654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F372" i="1" s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<sst xmlns="http://schemas.openxmlformats.org/spreadsheetml/2006/main" count="4271" uniqueCount="2180">
  <si>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</si>
  <si>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</si>
  <si>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</si>
  <si>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</si>
  <si>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</si>
  <si>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</si>
  <si>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</si>
  <si>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</si>
  <si>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</si>
  <si>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</si>
  <si>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</si>
  <si>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</si>
  <si>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</si>
  <si>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</si>
  <si>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</si>
  <si>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</si>
  <si>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</si>
  <si>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</si>
  <si>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</si>
  <si>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</si>
  <si>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</si>
  <si>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</si>
  <si>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</si>
  <si>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</si>
  <si>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</si>
  <si>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</si>
  <si>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</si>
  <si>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</si>
  <si>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</si>
  <si>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</si>
  <si>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</si>
  <si>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</si>
  <si>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</si>
  <si>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</si>
  <si>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</si>
  <si>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</si>
  <si>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</si>
  <si>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</si>
  <si>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</si>
  <si>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</si>
  <si>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</si>
  <si>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</si>
  <si>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</si>
  <si>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</si>
  <si>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</si>
  <si>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</si>
  <si>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</si>
  <si>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</si>
  <si>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</si>
  <si>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</si>
  <si>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</si>
  <si>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</si>
  <si>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</si>
  <si>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</si>
  <si>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</si>
  <si>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</si>
  <si>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</si>
  <si>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</si>
  <si>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</si>
  <si>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</si>
  <si>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</si>
  <si>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</si>
  <si>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</si>
  <si>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</si>
  <si>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</si>
  <si>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</si>
  <si>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</si>
  <si>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</si>
  <si>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</si>
  <si>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</si>
  <si>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</si>
  <si>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</si>
  <si>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</si>
  <si>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</si>
  <si>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</si>
  <si>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</si>
  <si>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</si>
  <si>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</si>
  <si>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</si>
  <si>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</si>
  <si>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</si>
  <si>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</si>
  <si>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</si>
  <si>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</si>
  <si>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</si>
  <si>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</si>
  <si>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</si>
  <si>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</si>
  <si>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</si>
  <si>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</si>
  <si>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</si>
  <si>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</si>
  <si>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</si>
  <si>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</si>
  <si>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</si>
  <si>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</si>
  <si>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</si>
  <si>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</si>
  <si>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</si>
  <si>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</si>
  <si>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</si>
  <si>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</si>
  <si>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</si>
  <si>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</si>
  <si>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</si>
  <si>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</si>
  <si>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</si>
  <si>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</si>
  <si>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</si>
  <si>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</si>
  <si>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</si>
  <si>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</si>
  <si>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</si>
  <si>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</si>
  <si>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</si>
  <si>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</si>
  <si>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</si>
  <si>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</si>
  <si>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</si>
  <si>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</si>
  <si>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</si>
  <si>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</si>
  <si>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</si>
  <si>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</si>
  <si>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</si>
  <si>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</si>
  <si>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</si>
  <si>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</si>
  <si>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</si>
  <si>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</si>
  <si>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</si>
  <si>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</si>
  <si>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</si>
  <si>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</si>
  <si>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</si>
  <si>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</si>
  <si>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</si>
  <si>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</si>
  <si>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</si>
  <si>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</si>
  <si>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</si>
  <si>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</si>
  <si>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</si>
  <si>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</si>
  <si>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</si>
  <si>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</si>
  <si>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</si>
  <si>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</si>
  <si>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</si>
  <si>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</si>
  <si>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</si>
  <si>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</si>
  <si>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</si>
  <si>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</si>
  <si>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</si>
  <si>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</si>
  <si>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</si>
  <si>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</si>
  <si>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</si>
  <si>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</si>
  <si>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</si>
  <si>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</si>
  <si>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</si>
  <si>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</si>
  <si>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</si>
  <si>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</si>
  <si>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</si>
  <si>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</si>
  <si>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</si>
  <si>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</si>
  <si>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</si>
  <si>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</si>
  <si>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</si>
  <si>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</si>
  <si>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</si>
  <si>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</si>
  <si>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</si>
  <si>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</si>
  <si>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</si>
  <si>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</si>
  <si>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</si>
  <si>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</si>
  <si>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</si>
  <si>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</si>
  <si>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</si>
  <si>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</si>
  <si>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</si>
  <si>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</si>
  <si>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</si>
  <si>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</si>
  <si>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</si>
  <si>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</si>
  <si>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</si>
  <si>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</si>
  <si>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</si>
  <si>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</si>
  <si>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</si>
  <si>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</si>
  <si>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</si>
  <si>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</si>
  <si>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</si>
  <si>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</si>
  <si>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</si>
  <si>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</si>
  <si>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</si>
  <si>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</si>
  <si>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</si>
  <si>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</si>
  <si>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</si>
  <si>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</si>
  <si>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</si>
  <si>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</si>
  <si>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</si>
  <si>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</si>
  <si>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</si>
  <si>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</si>
  <si>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</si>
  <si>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</si>
  <si>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</si>
  <si>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</si>
  <si>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</si>
  <si>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</si>
  <si>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</si>
  <si>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</si>
  <si>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</si>
  <si>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</si>
  <si>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</si>
  <si>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</si>
  <si>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</si>
  <si>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</si>
  <si>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</si>
  <si>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</si>
  <si>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</si>
  <si>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</si>
  <si>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</si>
  <si>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</si>
  <si>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</si>
  <si>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</si>
  <si>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</si>
  <si>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</si>
  <si>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</si>
  <si>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</si>
  <si>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</si>
  <si>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</si>
  <si>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</si>
  <si>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</si>
  <si>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</si>
  <si>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</si>
  <si>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</si>
  <si>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</si>
  <si>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</si>
  <si>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</si>
  <si>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</si>
  <si>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</si>
  <si>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</si>
  <si>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</si>
  <si>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</si>
  <si>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</si>
  <si>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</si>
  <si>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</si>
  <si>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</si>
  <si>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</si>
  <si>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</si>
  <si>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</si>
  <si>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</si>
  <si>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</si>
  <si>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</si>
  <si>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</si>
  <si>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</si>
  <si>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</si>
  <si>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</si>
  <si>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</si>
  <si>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</si>
  <si>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</si>
  <si>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</si>
  <si>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</si>
  <si>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</si>
  <si>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</si>
  <si>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</si>
  <si>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</si>
  <si>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</si>
  <si>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</si>
  <si>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</si>
  <si>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</si>
  <si>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</si>
  <si>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</si>
  <si>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</si>
  <si>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</si>
  <si>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</si>
  <si>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</si>
  <si>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</si>
  <si>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</si>
  <si>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</si>
  <si>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</si>
  <si>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</si>
  <si>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</si>
  <si>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</si>
  <si>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</si>
  <si>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</si>
  <si>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</si>
  <si>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</si>
  <si>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</si>
  <si>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</si>
  <si>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</si>
  <si>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</si>
  <si>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</si>
  <si>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</si>
  <si>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</si>
  <si>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</si>
  <si>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</si>
  <si>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</si>
  <si>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</si>
  <si>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</si>
  <si>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</si>
  <si>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</si>
  <si>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</si>
  <si>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</si>
  <si>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</si>
  <si>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</si>
  <si>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</si>
  <si>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</si>
  <si>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</si>
  <si>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</si>
  <si>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</si>
  <si>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</si>
  <si>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</si>
  <si>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</si>
  <si>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</si>
  <si>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</si>
  <si>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</si>
  <si>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</si>
  <si>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</si>
  <si>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</si>
  <si>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</si>
  <si>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</si>
  <si>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</si>
  <si>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</si>
  <si>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</si>
  <si>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</si>
  <si>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</si>
  <si>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</si>
  <si>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</si>
  <si>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</si>
  <si>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</si>
  <si>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</si>
  <si>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</si>
  <si>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</si>
  <si>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</si>
  <si>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</si>
  <si>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</si>
  <si>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</si>
  <si>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</si>
  <si>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</si>
  <si>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</si>
  <si>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</si>
  <si>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</si>
  <si>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</si>
  <si>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</si>
  <si>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</si>
  <si>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</si>
  <si>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</si>
  <si>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</si>
  <si>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</si>
  <si>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</si>
  <si>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</si>
  <si>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</si>
  <si>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</si>
  <si>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</si>
  <si>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</si>
  <si>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</si>
  <si>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</si>
  <si>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</si>
  <si>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</si>
  <si>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</si>
  <si>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</si>
  <si>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</si>
  <si>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</si>
  <si>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</si>
  <si>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</si>
  <si>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</si>
  <si>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</si>
  <si>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</si>
  <si>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</si>
  <si>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</si>
  <si>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</si>
  <si>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</si>
  <si>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</si>
  <si>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</si>
  <si>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</si>
  <si>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</si>
  <si>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</si>
  <si>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</si>
  <si>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</si>
  <si>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</si>
  <si>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</si>
  <si>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</si>
  <si>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</si>
  <si>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</si>
  <si>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</si>
  <si>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</si>
  <si>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</si>
  <si>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</si>
  <si>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</si>
  <si>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</si>
  <si>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</si>
  <si>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</si>
  <si>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</si>
  <si>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</si>
  <si>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</si>
  <si>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</si>
  <si>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</si>
  <si>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</si>
  <si>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</si>
  <si>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</si>
  <si>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</si>
  <si>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</si>
  <si>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</si>
  <si>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</si>
  <si>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</si>
  <si>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</si>
  <si>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</si>
  <si>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</si>
  <si>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</si>
  <si>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</si>
  <si>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</si>
  <si>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</si>
  <si>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</si>
  <si>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</si>
  <si>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</si>
  <si>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</si>
  <si>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</si>
  <si>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</si>
  <si>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</si>
  <si>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</si>
  <si>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</si>
  <si>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</si>
  <si>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</si>
  <si>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</si>
  <si>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</si>
  <si>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</si>
  <si>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</si>
  <si>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</si>
  <si>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</si>
  <si>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</si>
  <si>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</si>
  <si>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</si>
  <si>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</si>
  <si>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</si>
  <si>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</si>
  <si>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</si>
  <si>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</si>
  <si>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</si>
  <si>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</si>
  <si>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</si>
  <si>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</si>
  <si>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</si>
  <si>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</si>
  <si>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</si>
  <si>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</si>
  <si>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</si>
  <si>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</si>
  <si>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</si>
  <si>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</si>
  <si>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</si>
  <si>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</si>
  <si>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</si>
  <si>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</si>
  <si>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</si>
  <si>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</si>
  <si>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</si>
  <si>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</si>
  <si>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</si>
  <si>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</si>
  <si>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</si>
  <si>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</si>
  <si>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</si>
  <si>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</si>
  <si>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</si>
  <si>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</si>
  <si>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</si>
  <si>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</si>
  <si>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</si>
  <si>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</si>
  <si>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</si>
  <si>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</si>
  <si>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</si>
  <si>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</si>
  <si>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</si>
  <si>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</si>
  <si>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</si>
  <si>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</si>
  <si>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</si>
  <si>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</si>
  <si>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</si>
  <si>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</si>
  <si>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</si>
  <si>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</si>
  <si>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</si>
  <si>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</si>
  <si>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</si>
  <si>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</si>
  <si>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</si>
  <si>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</si>
  <si>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</si>
  <si>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</si>
  <si>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</si>
  <si>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</si>
  <si>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</si>
  <si>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</si>
  <si>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</si>
  <si>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</si>
  <si>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</si>
  <si>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</si>
  <si>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</si>
  <si>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</si>
  <si>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</si>
  <si>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</si>
  <si>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</si>
  <si>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</si>
  <si>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</si>
  <si>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</si>
  <si>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</si>
  <si>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</si>
  <si>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</si>
  <si>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</si>
  <si>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</si>
  <si>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</si>
  <si>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</si>
  <si>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</si>
  <si>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</si>
  <si>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</si>
  <si>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</si>
  <si>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</si>
  <si>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</si>
  <si>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</si>
  <si>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</si>
  <si>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</si>
  <si>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</si>
  <si>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</si>
  <si>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</si>
  <si>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</si>
  <si>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</si>
  <si>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</si>
  <si>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</si>
  <si>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</si>
  <si>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</si>
  <si>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</si>
  <si>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</si>
  <si>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</si>
  <si>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</si>
  <si>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</si>
  <si>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</si>
  <si>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</si>
  <si>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</si>
  <si>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</si>
  <si>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</si>
  <si>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</si>
  <si>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</si>
  <si>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</si>
  <si>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</si>
  <si>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</si>
  <si>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</si>
  <si>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</si>
  <si>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</si>
  <si>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</si>
  <si>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</si>
  <si>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</si>
  <si>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</si>
  <si>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</si>
  <si>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</si>
  <si>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</si>
  <si>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</si>
  <si>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</si>
  <si>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</si>
  <si>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</si>
  <si>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</si>
  <si>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</si>
  <si>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</si>
  <si>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</si>
  <si>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</si>
  <si>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</si>
  <si>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</si>
  <si>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</si>
  <si>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</si>
  <si>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</si>
  <si>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</si>
  <si>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</si>
  <si>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</si>
  <si>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</si>
  <si>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</si>
  <si>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</si>
  <si>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</si>
  <si>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</si>
  <si>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</si>
  <si>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</si>
  <si>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</si>
  <si>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</si>
  <si>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</si>
  <si>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</si>
  <si>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</si>
  <si>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</si>
  <si>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</si>
  <si>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</si>
  <si>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</si>
  <si>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</si>
  <si>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</si>
  <si>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</si>
  <si>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</si>
  <si>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</si>
  <si>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</si>
  <si>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</si>
  <si>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</si>
  <si>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</si>
  <si>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</si>
  <si>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</si>
  <si>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</si>
  <si>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</si>
  <si>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</si>
  <si>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</si>
  <si>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</si>
  <si>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</si>
  <si>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</si>
  <si>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</si>
  <si>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</si>
  <si>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</si>
  <si>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</si>
  <si>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</si>
  <si>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</si>
  <si>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</si>
  <si>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</si>
  <si>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</si>
  <si>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</si>
  <si>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</si>
  <si>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</si>
  <si>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</si>
  <si>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</si>
  <si>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</si>
  <si>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</si>
  <si>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</si>
  <si>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</si>
  <si>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</si>
  <si>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</si>
  <si>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</si>
  <si>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</si>
  <si>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</si>
  <si>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</si>
  <si>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</si>
  <si>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</si>
  <si>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</si>
  <si>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</si>
  <si>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</si>
  <si>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</si>
  <si>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</si>
  <si>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</si>
  <si>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</si>
  <si>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</si>
  <si>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</si>
  <si>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</si>
  <si>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</si>
  <si>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</si>
  <si>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</si>
  <si>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</si>
  <si>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</si>
  <si>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</si>
  <si>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</si>
  <si>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</si>
  <si>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</si>
  <si>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</si>
  <si>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</si>
  <si>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</si>
  <si>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</si>
  <si>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</si>
  <si>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</si>
  <si>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</si>
  <si>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</si>
  <si>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</si>
  <si>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</si>
  <si>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</si>
  <si>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</si>
  <si>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</si>
  <si>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</si>
  <si>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</si>
  <si>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</si>
  <si>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</si>
  <si>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</si>
  <si>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</si>
  <si>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</si>
  <si>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</si>
  <si>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</si>
  <si>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</si>
  <si>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</si>
  <si>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</si>
  <si>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</si>
  <si>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</si>
  <si>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</si>
  <si>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</si>
  <si>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</si>
  <si>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</si>
  <si>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</si>
  <si>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</si>
  <si>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</si>
  <si>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</si>
  <si>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</si>
  <si>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</si>
  <si>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</si>
  <si>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</si>
  <si>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</si>
  <si>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</si>
  <si>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</si>
  <si>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</si>
  <si>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</si>
  <si>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</si>
  <si>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</si>
  <si>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</si>
  <si>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</si>
  <si>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</si>
  <si>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</si>
  <si>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</si>
  <si>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</si>
  <si>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</si>
  <si>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</si>
  <si>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</si>
  <si>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</si>
  <si>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</si>
  <si>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</si>
  <si>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</si>
  <si>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</si>
  <si>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</si>
  <si>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</si>
  <si>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</si>
  <si>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</si>
  <si>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</si>
  <si>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</si>
  <si>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</si>
  <si>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</si>
  <si>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</si>
  <si>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</si>
  <si>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</si>
  <si>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</si>
  <si>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</si>
  <si>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</si>
  <si>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</si>
  <si>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</si>
  <si>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</si>
  <si>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</si>
  <si>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</si>
  <si>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</si>
  <si>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</si>
  <si>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</si>
  <si>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</si>
  <si>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</si>
  <si>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</si>
  <si>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</si>
  <si>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</si>
  <si>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</si>
  <si>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</si>
  <si>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</si>
  <si>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</si>
  <si>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</si>
  <si>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</si>
  <si>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</si>
  <si>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</si>
  <si>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</si>
  <si>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</si>
  <si>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</si>
  <si>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</si>
  <si>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</si>
  <si>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</si>
  <si>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</si>
  <si>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</si>
  <si>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</si>
  <si>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</si>
  <si>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</si>
  <si>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</si>
  <si>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</si>
  <si>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</si>
  <si>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</si>
  <si>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</si>
  <si>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</si>
  <si>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</si>
  <si>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</si>
  <si>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</si>
  <si>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</si>
  <si>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</si>
  <si>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</si>
  <si>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</si>
  <si>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</si>
  <si>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</si>
  <si>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</si>
  <si>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</si>
  <si>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</si>
  <si>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</si>
  <si>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</si>
  <si>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</si>
  <si>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</si>
  <si>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</si>
  <si>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</si>
  <si>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</si>
  <si>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</si>
  <si>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</si>
  <si>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</si>
  <si>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</si>
  <si>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</si>
  <si>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</si>
  <si>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</si>
  <si>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</si>
  <si>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</si>
  <si>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</si>
  <si>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</si>
  <si>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</si>
  <si>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</si>
  <si>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</si>
  <si>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</si>
  <si>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</si>
  <si>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</si>
  <si>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</si>
  <si>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</si>
  <si>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</si>
  <si>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</si>
  <si>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</si>
  <si>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</si>
  <si>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</si>
  <si>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</si>
  <si>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</si>
  <si>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</si>
  <si>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</si>
  <si>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</si>
  <si>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</si>
  <si>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</si>
  <si>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</si>
  <si>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</si>
  <si>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</si>
  <si>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</si>
  <si>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</si>
  <si>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</si>
  <si>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</si>
  <si>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</si>
  <si>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</si>
  <si>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</si>
  <si>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</si>
  <si>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</si>
  <si>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</si>
  <si>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</si>
  <si>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</si>
  <si>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</si>
  <si>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</si>
  <si>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</si>
  <si>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</si>
  <si>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</si>
  <si>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</si>
  <si>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</si>
  <si>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</si>
  <si>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</si>
  <si>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</si>
  <si>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</si>
  <si>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</si>
  <si>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</si>
  <si>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</si>
  <si>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</si>
  <si>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</si>
  <si>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</si>
  <si>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</si>
  <si>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</si>
  <si>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</si>
  <si>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</si>
  <si>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</si>
  <si>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</si>
  <si>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</si>
  <si>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</si>
  <si>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</si>
  <si>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</si>
  <si>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</si>
  <si>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</si>
  <si>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</si>
  <si>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</si>
  <si>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</si>
  <si>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</si>
  <si>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</si>
  <si>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</si>
  <si>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</si>
  <si>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</si>
  <si>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</si>
  <si>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</si>
  <si>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</si>
  <si>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</si>
  <si>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</si>
  <si>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</si>
  <si>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</si>
  <si>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</si>
  <si>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</si>
  <si>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</si>
  <si>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</si>
  <si>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</si>
  <si>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</si>
  <si>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</si>
  <si>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</si>
  <si>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</si>
  <si>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</si>
  <si>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</si>
  <si>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</si>
  <si>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</si>
  <si>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</si>
  <si>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</si>
  <si>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</si>
  <si>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</si>
  <si>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</si>
  <si>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</si>
  <si>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</si>
  <si>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</si>
  <si>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</si>
  <si>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</si>
  <si>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</si>
  <si>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</si>
  <si>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</si>
  <si>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</si>
  <si>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</si>
  <si>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</si>
  <si>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</si>
  <si>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</si>
  <si>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</si>
  <si>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</si>
  <si>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</si>
  <si>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</si>
  <si>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</si>
  <si>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</si>
  <si>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</si>
  <si>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</si>
  <si>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</si>
  <si>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</si>
  <si>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</si>
  <si>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</si>
  <si>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</si>
  <si>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</si>
  <si>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</si>
  <si>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</si>
  <si>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</si>
  <si>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</si>
  <si>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</si>
  <si>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</si>
  <si>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</si>
  <si>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</si>
  <si>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</si>
  <si>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</si>
  <si>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</si>
  <si>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</si>
  <si>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</si>
  <si>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</si>
  <si>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</si>
  <si>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</si>
  <si>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</si>
  <si>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</si>
  <si>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</si>
  <si>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</si>
  <si>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</si>
  <si>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</si>
  <si>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</si>
  <si>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</si>
  <si>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</si>
  <si>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</si>
  <si>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</si>
  <si>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</si>
  <si>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</si>
  <si>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</si>
  <si>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</si>
  <si>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</si>
  <si>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</si>
  <si>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</si>
  <si>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</si>
  <si>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</si>
  <si>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</si>
  <si>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</si>
  <si>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</si>
  <si>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</si>
  <si>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</si>
  <si>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</si>
  <si>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</si>
  <si>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</si>
  <si>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</si>
  <si>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</si>
  <si>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</si>
  <si>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</si>
  <si>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</si>
  <si>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</si>
  <si>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</si>
  <si>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</si>
  <si>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</si>
  <si>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</si>
  <si>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</si>
  <si>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</si>
  <si>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</si>
  <si>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</si>
  <si>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</si>
  <si>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</si>
  <si>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</si>
  <si>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</si>
  <si>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</si>
  <si>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</si>
  <si>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</si>
  <si>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</si>
  <si>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</si>
  <si>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</si>
  <si>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</si>
  <si>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</si>
  <si>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</si>
  <si>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</si>
  <si>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</si>
  <si>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</si>
  <si>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</si>
  <si>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</si>
  <si>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</si>
  <si>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</si>
  <si>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</si>
  <si>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</si>
  <si>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</si>
  <si>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</si>
  <si>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</si>
  <si>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</si>
  <si>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</si>
  <si>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</si>
  <si>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</si>
  <si>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</si>
  <si>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</si>
  <si>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</si>
  <si>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</si>
  <si>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</si>
  <si>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</si>
  <si>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</si>
  <si>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</si>
  <si>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</si>
  <si>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</si>
  <si>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</si>
  <si>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</si>
  <si>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</si>
  <si>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</si>
  <si>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</si>
  <si>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</si>
  <si>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</si>
  <si>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</si>
  <si>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</si>
  <si>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</si>
  <si>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</si>
  <si>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</si>
  <si>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</si>
  <si>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</si>
  <si>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</si>
  <si>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</si>
  <si>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</si>
  <si>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</si>
  <si>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</si>
  <si>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</si>
  <si>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</si>
  <si>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</si>
  <si>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</si>
  <si>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</si>
  <si>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</si>
  <si>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</si>
  <si>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</si>
  <si>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</si>
  <si>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</si>
  <si>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</si>
  <si>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</si>
  <si>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</si>
  <si>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</si>
  <si>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</si>
  <si>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</si>
  <si>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</si>
  <si>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</si>
  <si>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</si>
  <si>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</si>
  <si>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</si>
  <si>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</si>
  <si>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</si>
  <si>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</si>
  <si>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</si>
  <si>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</si>
  <si>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</si>
  <si>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</si>
  <si>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</si>
  <si>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</si>
  <si>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</si>
  <si>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</si>
  <si>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</si>
  <si>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</si>
  <si>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</si>
  <si>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</si>
  <si>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</si>
  <si>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</si>
  <si>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</si>
  <si>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</si>
  <si>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</si>
  <si>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</si>
  <si>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</si>
  <si>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</si>
  <si>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</si>
  <si>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</si>
  <si>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</si>
  <si>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</si>
  <si>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</si>
  <si>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</si>
  <si>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</si>
  <si>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</si>
  <si>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</si>
  <si>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</si>
  <si>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</si>
  <si>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</si>
  <si>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</si>
  <si>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</si>
  <si>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</si>
  <si>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</si>
  <si>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</si>
  <si>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</si>
  <si>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</si>
  <si>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</si>
  <si>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</si>
  <si>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</si>
  <si>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</si>
  <si>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</si>
  <si>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</si>
  <si>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</si>
  <si>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</si>
  <si>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</si>
  <si>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</si>
  <si>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</si>
  <si>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</si>
  <si>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</si>
  <si>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</si>
  <si>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</si>
  <si>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</si>
  <si>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</si>
  <si>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</si>
  <si>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</si>
  <si>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</si>
  <si>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</si>
  <si>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</si>
  <si>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</si>
  <si>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</si>
  <si>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</si>
  <si>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</si>
  <si>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</si>
  <si>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</si>
  <si>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</si>
  <si>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</si>
  <si>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</si>
  <si>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</si>
  <si>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</si>
  <si>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</si>
  <si>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</si>
  <si>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</si>
  <si>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</si>
  <si>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</si>
  <si>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</si>
  <si>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</si>
  <si>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</si>
  <si>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</si>
  <si>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</si>
  <si>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</si>
  <si>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</si>
  <si>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</si>
  <si>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</si>
  <si>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</si>
  <si>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</si>
  <si>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</si>
  <si>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</si>
  <si>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</si>
  <si>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</si>
  <si>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</si>
  <si>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</si>
  <si>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</si>
  <si>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</si>
  <si>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</si>
  <si>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</si>
  <si>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</si>
  <si>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</si>
  <si>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</si>
  <si>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</si>
  <si>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</si>
  <si>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</si>
  <si>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</si>
  <si>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</si>
  <si>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</si>
  <si>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</si>
  <si>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</si>
  <si>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</si>
  <si>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</si>
  <si>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</si>
  <si>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</si>
  <si>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</si>
  <si>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</si>
  <si>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</si>
  <si>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</si>
  <si>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</si>
  <si>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</si>
  <si>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</si>
  <si>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</si>
  <si>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</si>
  <si>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</si>
  <si>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</si>
  <si>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</si>
  <si>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</si>
  <si>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</si>
  <si>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</si>
  <si>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</si>
  <si>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</si>
  <si>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</si>
  <si>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</si>
  <si>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</si>
  <si>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</si>
  <si>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</si>
  <si>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</si>
  <si>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</si>
  <si>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</si>
  <si>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</si>
  <si>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</si>
  <si>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</si>
  <si>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</si>
  <si>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</si>
  <si>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</si>
  <si>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</si>
  <si>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</si>
  <si>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</si>
  <si>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</si>
  <si>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</si>
  <si>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</si>
  <si>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</si>
  <si>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</si>
  <si>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</si>
  <si>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</si>
  <si>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</si>
  <si>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</si>
  <si>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</si>
  <si>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</si>
  <si>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</si>
  <si>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</si>
  <si>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</si>
  <si>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</si>
  <si>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</si>
  <si>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</si>
  <si>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</si>
  <si>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</si>
  <si>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</si>
  <si>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</si>
  <si>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</si>
  <si>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</si>
  <si>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</si>
  <si>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</si>
  <si>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</si>
  <si>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</si>
  <si>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</si>
  <si>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</si>
  <si>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</si>
  <si>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</si>
  <si>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</si>
  <si>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</si>
  <si>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</si>
  <si>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</si>
  <si>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</si>
  <si>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</si>
  <si>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</si>
  <si>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</si>
  <si>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</si>
  <si>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</si>
  <si>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</si>
  <si>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</si>
  <si>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</si>
  <si>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</si>
  <si>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</si>
  <si>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</si>
  <si>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</si>
  <si>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</si>
  <si>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</si>
  <si>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</si>
  <si>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</si>
  <si>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</si>
  <si>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</si>
  <si>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</si>
  <si>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</si>
  <si>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</si>
  <si>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</si>
  <si>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</si>
  <si>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</si>
  <si>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</si>
  <si>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</si>
  <si>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</si>
  <si>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</si>
  <si>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</si>
  <si>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</si>
  <si>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</si>
  <si>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</si>
  <si>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</si>
  <si>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</si>
  <si>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</si>
  <si>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</si>
  <si>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</si>
  <si>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</si>
  <si>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</si>
  <si>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</si>
  <si>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</si>
  <si>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</si>
  <si>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</si>
  <si>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</si>
  <si>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</si>
  <si>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</si>
  <si>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</si>
  <si>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</si>
  <si>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</si>
  <si>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</si>
  <si>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</si>
  <si>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</si>
  <si>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</si>
  <si>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</si>
  <si>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</si>
  <si>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</si>
  <si>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</si>
  <si>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</si>
  <si>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</si>
  <si>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</si>
  <si>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</si>
  <si>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</si>
  <si>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</si>
  <si>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</si>
  <si>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</si>
  <si>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</si>
  <si>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</si>
  <si>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</si>
  <si>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</si>
  <si>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</si>
  <si>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</si>
  <si>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</si>
  <si>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</si>
  <si>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</si>
  <si>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</si>
  <si>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</si>
  <si>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</si>
  <si>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</si>
  <si>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</si>
  <si>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</si>
  <si>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</si>
  <si>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</si>
  <si>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</si>
  <si>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</si>
  <si>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</si>
  <si>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</si>
  <si>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</si>
  <si>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</si>
  <si>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</si>
  <si>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</si>
  <si>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</si>
  <si>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</si>
  <si>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</si>
  <si>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</si>
  <si>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</si>
  <si>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</si>
  <si>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</si>
  <si>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</si>
  <si>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</si>
  <si>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</si>
  <si>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</si>
  <si>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</si>
  <si>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</si>
  <si>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</si>
  <si>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</si>
  <si>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</si>
  <si>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</si>
  <si>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</si>
  <si>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</si>
  <si>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</si>
  <si>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</si>
  <si>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</si>
  <si>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</si>
  <si>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</si>
  <si>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</si>
  <si>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</si>
  <si>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</si>
  <si>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</si>
  <si>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</si>
  <si>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</si>
  <si>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</si>
  <si>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</si>
  <si>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</si>
  <si>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</si>
  <si>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</si>
  <si>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</si>
  <si>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</si>
  <si>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</si>
  <si>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</si>
  <si>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</si>
  <si>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</si>
  <si>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</si>
  <si>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</si>
  <si>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</si>
  <si>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</si>
  <si>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</si>
  <si>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</si>
  <si>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</si>
  <si>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</si>
  <si>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</si>
  <si>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</si>
  <si>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</si>
  <si>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</si>
  <si>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</si>
  <si>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</si>
  <si>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</si>
  <si>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</si>
  <si>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</si>
  <si>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</si>
  <si>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</si>
  <si>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</si>
  <si>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</si>
  <si>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</si>
  <si>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</si>
  <si>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</si>
  <si>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</si>
  <si>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</si>
  <si>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</si>
  <si>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</si>
  <si>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</si>
  <si>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</si>
  <si>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</si>
  <si>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</si>
  <si>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</si>
  <si>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</si>
  <si>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</si>
  <si>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</si>
  <si>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</si>
  <si>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</si>
  <si>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</si>
  <si>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</si>
  <si>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</si>
  <si>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</si>
  <si>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</si>
  <si>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</si>
  <si>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</si>
  <si>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</si>
  <si>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</si>
  <si>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</si>
  <si>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</si>
  <si>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</si>
  <si>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</si>
  <si>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</si>
  <si>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</si>
  <si>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</si>
  <si>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</si>
  <si>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</si>
  <si>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</si>
  <si>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</si>
  <si>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</si>
  <si>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</si>
  <si>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</si>
  <si>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</si>
  <si>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</si>
  <si>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</si>
  <si>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</si>
  <si>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</si>
  <si>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</si>
  <si>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</si>
  <si>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</si>
  <si>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</si>
  <si>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</si>
  <si>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</si>
  <si>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</si>
  <si>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</si>
  <si>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</si>
  <si>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</si>
  <si>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</si>
  <si>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</si>
  <si>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</si>
  <si>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</si>
  <si>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</si>
  <si>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</si>
  <si>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</si>
  <si>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</si>
  <si>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</si>
  <si>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</si>
  <si>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</si>
  <si>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</si>
  <si>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</si>
  <si>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</si>
  <si>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</si>
  <si>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</si>
  <si>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</si>
  <si>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</si>
  <si>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</si>
  <si>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</si>
  <si>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</si>
  <si>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</si>
  <si>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</si>
  <si>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</si>
  <si>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</si>
  <si>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</si>
  <si>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</si>
  <si>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</si>
  <si>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</si>
  <si>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</si>
  <si>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</si>
  <si>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</si>
  <si>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</si>
  <si>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</si>
  <si>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</si>
  <si>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</si>
  <si>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</si>
  <si>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</si>
  <si>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</si>
  <si>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</si>
  <si>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</si>
  <si>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</si>
  <si>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</si>
  <si>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</si>
  <si>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</si>
  <si>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</si>
  <si>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</si>
  <si>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</si>
  <si>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</si>
  <si>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</si>
  <si>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</si>
  <si>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</si>
  <si>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</si>
  <si>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</si>
  <si>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</si>
  <si>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</si>
  <si>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</si>
  <si>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</si>
  <si>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</si>
  <si>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</si>
  <si>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</si>
  <si>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</si>
  <si>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</si>
  <si>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</si>
  <si>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</si>
  <si>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</si>
  <si>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</si>
  <si>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</si>
  <si>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</si>
  <si>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</si>
  <si>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</si>
  <si>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</si>
  <si>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</si>
  <si>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</si>
  <si>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</si>
  <si>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</si>
  <si>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</si>
  <si>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</si>
  <si>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</si>
  <si>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</si>
  <si>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</si>
  <si>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</si>
  <si>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</si>
  <si>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</si>
  <si>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</si>
  <si>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</si>
  <si>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</si>
  <si>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</si>
  <si>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</si>
  <si>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</si>
  <si>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</si>
  <si>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</si>
  <si>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</si>
  <si>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</si>
  <si>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</si>
  <si>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</si>
  <si>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</si>
  <si>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</si>
  <si>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</si>
  <si>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</si>
  <si>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</si>
  <si>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</si>
  <si>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</si>
  <si>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</si>
  <si>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</si>
  <si>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</si>
  <si>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</si>
  <si>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</si>
  <si>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</si>
  <si>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</si>
  <si>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</si>
  <si>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</si>
  <si>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</si>
  <si>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</si>
  <si>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</si>
  <si>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</si>
  <si>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</si>
  <si>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</si>
  <si>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</si>
  <si>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</si>
  <si>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</si>
  <si>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</si>
  <si>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</si>
  <si>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</si>
  <si>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</si>
  <si>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</si>
  <si>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</si>
  <si>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</si>
  <si>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</si>
  <si>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</si>
  <si>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</si>
  <si>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</si>
  <si>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</si>
  <si>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</si>
  <si>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</si>
  <si>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</si>
  <si>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</si>
  <si>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</si>
  <si>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</si>
  <si>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</si>
  <si>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</si>
  <si>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</si>
  <si>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</si>
  <si>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</si>
  <si>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</si>
  <si>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</si>
  <si>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</si>
  <si>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</si>
  <si>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</si>
  <si>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</si>
  <si>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</si>
  <si>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</si>
  <si>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</si>
  <si>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</si>
  <si>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</si>
  <si>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</si>
  <si>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</si>
  <si>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</si>
  <si>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</si>
  <si>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</si>
  <si>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</si>
  <si>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</si>
  <si>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</si>
  <si>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</si>
  <si>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</si>
  <si>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</si>
  <si>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</si>
  <si>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</si>
  <si>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</si>
  <si>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</si>
  <si>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</si>
  <si>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</si>
  <si>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</si>
  <si>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</si>
  <si>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</si>
  <si>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</si>
  <si>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</si>
  <si>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</si>
  <si>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</si>
  <si>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</si>
  <si>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</si>
  <si>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</si>
  <si>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</si>
  <si>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</si>
  <si>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</si>
  <si>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</si>
  <si>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</si>
  <si>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</si>
  <si>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</si>
  <si>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</si>
  <si>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</si>
  <si>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</si>
  <si>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</si>
  <si>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</si>
  <si>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</si>
  <si>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</si>
  <si>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</si>
  <si>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</si>
  <si>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</si>
  <si>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</si>
  <si>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</si>
  <si>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</si>
  <si>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</si>
  <si>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</si>
  <si>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</si>
  <si>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</si>
  <si>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</si>
  <si>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</si>
  <si>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</si>
  <si>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</si>
  <si>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</si>
  <si>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</si>
  <si>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</si>
  <si>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</si>
  <si>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</si>
  <si>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</si>
  <si>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</si>
  <si>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</si>
  <si>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</si>
  <si>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</si>
  <si>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</si>
  <si>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</si>
  <si>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</si>
  <si>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</si>
  <si>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</si>
  <si>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</si>
  <si>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</si>
  <si>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</si>
  <si>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</si>
  <si>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</si>
  <si>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</si>
  <si>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</si>
  <si>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</si>
  <si>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</si>
  <si>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</si>
  <si>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</si>
  <si>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</si>
  <si>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</si>
  <si>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</si>
  <si>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</si>
  <si>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</si>
  <si>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</si>
  <si>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</si>
  <si>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</si>
  <si>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</si>
  <si>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</si>
  <si>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</si>
  <si>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</si>
  <si>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</si>
  <si>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</si>
  <si>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</si>
  <si>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</si>
  <si>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</si>
  <si>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</si>
  <si>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</si>
  <si>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</si>
  <si>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</si>
  <si>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</si>
  <si>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</si>
  <si>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</si>
  <si>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</si>
  <si>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</si>
  <si>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</si>
  <si>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</si>
  <si>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</si>
  <si>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</si>
  <si>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</si>
  <si>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</si>
  <si>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</si>
  <si>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</si>
  <si>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</si>
  <si>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</si>
  <si>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</si>
  <si>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</si>
  <si>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</si>
  <si>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</si>
  <si>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</si>
  <si>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</si>
  <si>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</si>
  <si>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</si>
  <si>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</si>
  <si>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</si>
  <si>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</si>
  <si>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</si>
  <si>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</si>
  <si>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</si>
  <si>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</si>
  <si>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</si>
  <si>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</si>
  <si>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</si>
  <si>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</si>
  <si>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</si>
  <si>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</si>
  <si>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</si>
  <si>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</si>
  <si>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</si>
  <si>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</si>
  <si>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</si>
  <si>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</si>
  <si>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</si>
  <si>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</si>
  <si>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</si>
  <si>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</si>
  <si>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</si>
  <si>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</si>
  <si>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</si>
  <si>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</si>
  <si>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</si>
  <si>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</si>
  <si>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</si>
  <si>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</si>
  <si>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</si>
  <si>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</si>
  <si>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</si>
  <si>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</si>
  <si>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</si>
  <si>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</si>
  <si>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</si>
  <si>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</si>
  <si>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</si>
  <si>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</si>
  <si>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</si>
  <si>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</si>
  <si>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</si>
  <si>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</si>
  <si>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</si>
  <si>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</si>
  <si>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</si>
  <si>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</si>
  <si>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</si>
  <si>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</si>
  <si>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</si>
  <si>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</si>
  <si>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</si>
  <si>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</si>
  <si>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</si>
  <si>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</si>
  <si>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</si>
  <si>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</si>
  <si>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</si>
  <si>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</si>
  <si>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</si>
  <si>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</si>
  <si>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</si>
  <si>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</si>
  <si>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</si>
  <si>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</si>
  <si>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</si>
  <si>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</si>
  <si>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</si>
  <si>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</si>
  <si>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</si>
  <si>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</si>
  <si>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</si>
  <si>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</si>
  <si>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</si>
  <si>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</si>
  <si>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</si>
  <si>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</si>
  <si>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</si>
  <si>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</si>
  <si>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</si>
  <si>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</si>
  <si>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</si>
  <si>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</si>
  <si>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</si>
  <si>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</si>
  <si>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</si>
  <si>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</si>
  <si>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</si>
  <si>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</si>
  <si>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</si>
  <si>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</si>
  <si>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</si>
  <si>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</si>
  <si>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</si>
  <si>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</si>
  <si>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</si>
  <si>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</si>
  <si>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</si>
  <si>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</si>
  <si>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</si>
  <si>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</si>
  <si>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</si>
  <si>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</si>
  <si>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</si>
  <si>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</si>
  <si>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</si>
  <si>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</si>
  <si>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</si>
  <si>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</si>
  <si>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</si>
  <si>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</si>
  <si>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</si>
  <si>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</si>
  <si>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</si>
  <si>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</si>
  <si>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</si>
  <si>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</si>
  <si>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</si>
  <si>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</si>
  <si>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</si>
  <si>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</si>
  <si>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</si>
  <si>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</si>
  <si>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</si>
  <si>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</si>
  <si>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</si>
  <si>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</si>
  <si>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</si>
  <si>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</si>
  <si>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</si>
  <si>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</si>
  <si>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</si>
  <si>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</si>
  <si>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</si>
  <si>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</si>
  <si>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</si>
  <si>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</si>
  <si>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</si>
  <si>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</si>
  <si>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</si>
  <si>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</si>
  <si>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</si>
  <si>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</si>
  <si>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</si>
  <si>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</si>
  <si>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</si>
  <si>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</si>
  <si>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</si>
  <si>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</si>
  <si>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</si>
  <si>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</si>
  <si>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</si>
  <si>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</si>
  <si>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</si>
  <si>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</si>
  <si>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</si>
  <si>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</si>
  <si>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</si>
  <si>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</si>
  <si>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</si>
  <si>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</si>
  <si>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</si>
  <si>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</si>
  <si>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</si>
  <si>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</si>
  <si>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</si>
  <si>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</si>
  <si>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</si>
  <si>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</si>
  <si>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</si>
  <si>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</si>
  <si>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</si>
  <si>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</si>
  <si>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</si>
  <si>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</si>
  <si>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</si>
  <si>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</si>
  <si>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</si>
  <si>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</si>
  <si>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</si>
  <si>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</si>
  <si>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</si>
  <si>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</si>
  <si>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</si>
  <si>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</si>
  <si>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</si>
  <si>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</si>
  <si>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</si>
  <si>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</si>
  <si>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</si>
  <si>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</si>
  <si>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</si>
  <si>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</si>
  <si>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</si>
  <si>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</si>
  <si>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</si>
  <si>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</si>
  <si>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</si>
  <si>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</si>
  <si>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</si>
  <si>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</si>
  <si>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</si>
  <si>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</si>
  <si>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</si>
  <si>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</si>
  <si>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</si>
  <si>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</si>
  <si>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</si>
  <si>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</si>
  <si>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</si>
  <si>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</si>
  <si>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</si>
  <si>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</si>
  <si>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</si>
  <si>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</si>
  <si>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</si>
  <si>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</si>
  <si>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</si>
  <si>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</si>
  <si>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</si>
  <si>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</si>
  <si>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</si>
  <si>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</si>
  <si>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</si>
  <si>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</si>
  <si>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</si>
  <si>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</si>
  <si>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</si>
  <si>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</si>
  <si>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</si>
  <si>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</si>
  <si>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</si>
  <si>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</si>
  <si>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</si>
  <si>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</si>
  <si>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</si>
  <si>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</si>
  <si>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</si>
  <si>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</si>
  <si>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</si>
  <si>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</si>
  <si>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</si>
  <si>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</si>
  <si>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</si>
  <si>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</si>
  <si>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</si>
  <si>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</si>
  <si>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</si>
  <si>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</si>
  <si>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</si>
  <si>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</si>
  <si>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</si>
  <si>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</si>
  <si>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</si>
  <si>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</si>
  <si>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</si>
  <si>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</si>
  <si>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</si>
  <si>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</si>
  <si>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</si>
  <si>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</si>
  <si>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</si>
  <si>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</si>
  <si>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</si>
  <si>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</si>
  <si>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</si>
  <si>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</si>
  <si>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</si>
  <si>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</si>
  <si>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</si>
  <si>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</si>
  <si>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</si>
  <si>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</si>
  <si>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</si>
  <si>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</si>
  <si>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</si>
  <si>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</si>
  <si>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</si>
  <si>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</si>
  <si>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</si>
  <si>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</si>
  <si>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</si>
  <si>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</si>
  <si>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</si>
  <si>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</si>
  <si>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</si>
  <si>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</si>
  <si>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</si>
  <si>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</si>
  <si>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</si>
  <si>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</si>
  <si>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</si>
  <si>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</si>
  <si>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</si>
  <si>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</si>
  <si>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</si>
  <si>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</si>
  <si>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</si>
  <si>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</si>
  <si>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</si>
  <si>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</si>
  <si>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</si>
  <si>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</si>
  <si>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</si>
  <si>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</si>
  <si>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</si>
  <si>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</si>
  <si>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</si>
  <si>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</si>
  <si>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</si>
  <si>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</si>
  <si>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</si>
  <si>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</si>
  <si>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</si>
  <si>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</si>
  <si>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</si>
  <si>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</si>
  <si>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</si>
  <si>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</si>
  <si>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</si>
  <si>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</si>
  <si>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</si>
  <si>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</si>
  <si>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</si>
  <si>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</si>
  <si>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</si>
  <si>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</si>
  <si>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</si>
  <si>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</si>
  <si>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</si>
  <si>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</si>
  <si>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</si>
  <si>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</si>
  <si>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</si>
  <si>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</si>
  <si>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</si>
  <si>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</si>
  <si>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</si>
  <si>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</si>
  <si>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</si>
  <si>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</si>
  <si>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</si>
  <si>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</si>
  <si>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</si>
  <si>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</si>
  <si>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</si>
  <si>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</si>
  <si>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</si>
  <si>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</si>
  <si>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</si>
  <si>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</si>
  <si>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</si>
  <si>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</si>
  <si>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</si>
  <si>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</si>
  <si>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</si>
  <si>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</si>
  <si>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</si>
  <si>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</si>
  <si>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</si>
  <si>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</si>
  <si>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</si>
  <si>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</si>
  <si>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</si>
  <si>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</si>
  <si>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</si>
  <si>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</si>
  <si>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</si>
  <si>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</si>
  <si>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</si>
  <si>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</si>
  <si>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</si>
  <si>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</si>
  <si>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</si>
  <si>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</si>
  <si>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</si>
  <si>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</si>
  <si>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</si>
  <si>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</si>
  <si>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</si>
  <si>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</si>
  <si>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</si>
  <si>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</si>
  <si>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</si>
  <si>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</si>
  <si>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</si>
  <si>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</si>
  <si>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</si>
  <si>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</si>
  <si>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</si>
  <si>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</si>
  <si>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</si>
  <si>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</si>
  <si>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</si>
  <si>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</si>
  <si>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</si>
  <si>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</si>
  <si>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</si>
  <si>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</si>
  <si>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</si>
  <si>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</si>
  <si>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</si>
  <si>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</si>
  <si>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</si>
  <si>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</si>
  <si>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</si>
  <si>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</si>
  <si>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</si>
  <si>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</si>
  <si>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</si>
  <si>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</si>
  <si>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</si>
  <si>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</si>
  <si>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</si>
  <si>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</si>
  <si>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</si>
  <si>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</si>
  <si>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</si>
  <si>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</si>
  <si>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</si>
  <si>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</si>
  <si>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</si>
  <si>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</si>
  <si>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</si>
  <si>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</si>
  <si>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</si>
  <si>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</si>
  <si>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</si>
  <si>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</si>
  <si>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</si>
  <si>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</si>
  <si>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</si>
  <si>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</si>
  <si>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</si>
  <si>
    <t>SPS3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</si>
</sst>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"/>
    <numFmt numFmtId="169" formatCode="_-[$€-2]* #,##0.00_-;\-[$€-2]* #,##0.00_-;_-[$€-2]* &quot;-&quot;??_-"/>
    <numFmt numFmtId="170" formatCode="_-* #,##0.00_-;\-* #,##0.00_-;_-* &quot;-&quot;??_-;_-@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10" fillId="22" borderId="11" applyNumberFormat="0" applyFon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22" borderId="11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9" fontId="0" fillId="0" borderId="0" xfId="1" applyFont="1"/>
    <xf numFmtId="0" fontId="4" fillId="0" borderId="0" xfId="0" applyFont="1"/>
    <xf numFmtId="165" fontId="4" fillId="0" borderId="0" xfId="0" quotePrefix="1" applyNumberFormat="1" applyFont="1"/>
    <xf numFmtId="2" fontId="0" fillId="0" borderId="0" xfId="0" applyNumberFormat="1"/>
    <xf numFmtId="166" fontId="0" fillId="0" borderId="0" xfId="0" applyNumberFormat="1"/>
    <xf numFmtId="0" fontId="5" fillId="0" borderId="0" xfId="0" applyFont="1"/>
    <xf numFmtId="165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5" fontId="1" fillId="0" borderId="0" xfId="1" applyNumberFormat="1" applyFont="1"/>
    <xf numFmtId="165" fontId="2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165" fontId="0" fillId="0" borderId="0" xfId="0" quotePrefix="1" applyNumberFormat="1"/>
    <xf numFmtId="165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P07%20integrated%20modelling/STEM_Results/sps3_users_bs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UT_StorageDispatch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ystemCostTaxSubsidies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7.2396666571814525E-2</v>
          </cell>
          <cell r="G4">
            <v>7.5533726195857243E-2</v>
          </cell>
          <cell r="H4">
            <v>8.2478490466948648E-2</v>
          </cell>
          <cell r="I4">
            <v>8.849156982176061E-2</v>
          </cell>
          <cell r="J4">
            <v>2.2089589310148243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7.2396666571814525E-2</v>
          </cell>
          <cell r="G5">
            <v>7.5533726195857243E-2</v>
          </cell>
          <cell r="H5">
            <v>8.2478490466948648E-2</v>
          </cell>
          <cell r="I5">
            <v>8.849156982176061E-2</v>
          </cell>
          <cell r="J5">
            <v>2.2089589310148243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8.7308201905181796E-3</v>
          </cell>
          <cell r="G6">
            <v>3.23240657744254E-5</v>
          </cell>
          <cell r="H6">
            <v>3.8041452762045602E-6</v>
          </cell>
          <cell r="I6">
            <v>1.78633884778064E-4</v>
          </cell>
          <cell r="J6">
            <v>0.24638542704146199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8.7308201905181796E-3</v>
          </cell>
          <cell r="G7">
            <v>8.7631442562926005E-3</v>
          </cell>
          <cell r="H7">
            <v>8.7669484015688096E-3</v>
          </cell>
          <cell r="I7">
            <v>9.5920576260943597E-3</v>
          </cell>
          <cell r="J7">
            <v>0.25597748466755599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3.2682489434074817</v>
          </cell>
          <cell r="F8">
            <v>3.8320005829639525</v>
          </cell>
          <cell r="G8">
            <v>0.34204011060183631</v>
          </cell>
          <cell r="H8">
            <v>0.29938276819966475</v>
          </cell>
          <cell r="I8">
            <v>0.17768307215844215</v>
          </cell>
          <cell r="J8">
            <v>6.540994303397428E-2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3.2682489434074817</v>
          </cell>
          <cell r="F9">
            <v>3.8320005829639525</v>
          </cell>
          <cell r="G9">
            <v>0.34204011060183631</v>
          </cell>
          <cell r="H9">
            <v>0.29938276819966475</v>
          </cell>
          <cell r="I9">
            <v>0.17768307215844215</v>
          </cell>
          <cell r="J9">
            <v>6.540994303397428E-2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0.67000201811261206</v>
          </cell>
          <cell r="F10">
            <v>9.0647948563014752E-2</v>
          </cell>
          <cell r="G10">
            <v>4.9557839364059761E-2</v>
          </cell>
          <cell r="H10">
            <v>2.3255373020541585E-2</v>
          </cell>
          <cell r="I10">
            <v>2.7833325562331954E-2</v>
          </cell>
          <cell r="J10">
            <v>3.7305962691722497E-2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2.085140938488208</v>
          </cell>
          <cell r="F11">
            <v>0.26416516048342792</v>
          </cell>
          <cell r="G11">
            <v>0.12970565077017335</v>
          </cell>
          <cell r="H11">
            <v>4.9356615073855491E-2</v>
          </cell>
          <cell r="I11">
            <v>3.1524249896719383E-2</v>
          </cell>
          <cell r="J11">
            <v>4.1232906132956514E-2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112.873223206821</v>
          </cell>
          <cell r="F12">
            <v>14.6344700000893</v>
          </cell>
          <cell r="G12">
            <v>8.5559140739526391</v>
          </cell>
          <cell r="H12">
            <v>3.64416130023938</v>
          </cell>
          <cell r="I12">
            <v>4.5377365559646101</v>
          </cell>
          <cell r="J12">
            <v>5.9506798732403299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2.0012982838088815</v>
          </cell>
          <cell r="F13">
            <v>0.25947641844130059</v>
          </cell>
          <cell r="G13">
            <v>0.15170060414809633</v>
          </cell>
          <cell r="H13">
            <v>6.4612789011336533E-2</v>
          </cell>
          <cell r="I13">
            <v>8.0456321914266229E-2</v>
          </cell>
          <cell r="J13">
            <v>0.10550850839078606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7.8473787218520608E-6</v>
          </cell>
          <cell r="G14">
            <v>8.9282980932541602E-6</v>
          </cell>
          <cell r="H14">
            <v>1.95589092083857E-3</v>
          </cell>
          <cell r="I14">
            <v>1.8384932425912299E-3</v>
          </cell>
          <cell r="J14">
            <v>2.3129045414958501E-3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2.4995720415838502E-2</v>
          </cell>
          <cell r="F15">
            <v>1.8485987093146257E-2</v>
          </cell>
          <cell r="G15">
            <v>1.1756912966303108E-2</v>
          </cell>
          <cell r="H15">
            <v>5.52996192922817E-3</v>
          </cell>
          <cell r="I15">
            <v>4.4896205822657857E-3</v>
          </cell>
          <cell r="J15">
            <v>5.2062178790961665E-3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6.7991017456410621</v>
          </cell>
          <cell r="F16">
            <v>5.5589821595926894E-3</v>
          </cell>
          <cell r="G16">
            <v>4.8114830964805606E-3</v>
          </cell>
          <cell r="H16">
            <v>1.9422278314832845E-3</v>
          </cell>
          <cell r="I16">
            <v>2.7090355851865449E-3</v>
          </cell>
          <cell r="J16">
            <v>1.5882220303746132E-3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6.7991017456410621</v>
          </cell>
          <cell r="F17">
            <v>5.5589821595926894E-3</v>
          </cell>
          <cell r="G17">
            <v>4.8114830964805606E-3</v>
          </cell>
          <cell r="H17">
            <v>1.9422278314832845E-3</v>
          </cell>
          <cell r="I17">
            <v>2.7090355851865449E-3</v>
          </cell>
          <cell r="J17">
            <v>1.5882220303746132E-3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1.1369865207300701E-5</v>
          </cell>
          <cell r="F18">
            <v>9.2774726704839598E-6</v>
          </cell>
          <cell r="G18">
            <v>1.08540414737807E-5</v>
          </cell>
          <cell r="H18">
            <v>1.1283763818386101E-5</v>
          </cell>
          <cell r="I18">
            <v>8.1028424154433192E-6</v>
          </cell>
          <cell r="J18">
            <v>1.06332942919452E-5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1.4696220777573938</v>
          </cell>
          <cell r="F19">
            <v>6.2924359929199536E-3</v>
          </cell>
          <cell r="G19">
            <v>6.0286854374800303E-3</v>
          </cell>
          <cell r="H19">
            <v>5.5910115712625164E-3</v>
          </cell>
          <cell r="I19">
            <v>5.5659412954298659E-3</v>
          </cell>
          <cell r="J19">
            <v>5.5560613310907669E-3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1.0815148391994895E-2</v>
          </cell>
          <cell r="F20">
            <v>1.0756083187917745E-2</v>
          </cell>
          <cell r="G20">
            <v>1.0884035538563631E-2</v>
          </cell>
          <cell r="H20">
            <v>5.8973571570984018E-3</v>
          </cell>
          <cell r="I20">
            <v>6.1328218600775128E-2</v>
          </cell>
          <cell r="J20">
            <v>5.8606980809097861E-2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1.0815148391994886E-2</v>
          </cell>
          <cell r="F21">
            <v>1.0756083187917733E-2</v>
          </cell>
          <cell r="G21">
            <v>1.0884035538563619E-2</v>
          </cell>
          <cell r="H21">
            <v>5.8973571570983966E-3</v>
          </cell>
          <cell r="I21">
            <v>6.1328218600775086E-2</v>
          </cell>
          <cell r="J21">
            <v>5.860698080909784E-2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1.1978789369541455E-2</v>
          </cell>
          <cell r="F22">
            <v>1.1912477935219639E-2</v>
          </cell>
          <cell r="G22">
            <v>1.2042096888139562E-2</v>
          </cell>
          <cell r="H22">
            <v>6.5269758554170835E-3</v>
          </cell>
          <cell r="I22">
            <v>6.7822849109946973E-2</v>
          </cell>
          <cell r="J22">
            <v>6.4812870766061112E-2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1.1978789369541455E-2</v>
          </cell>
          <cell r="F23">
            <v>1.1912477935219639E-2</v>
          </cell>
          <cell r="G23">
            <v>1.2042096888139562E-2</v>
          </cell>
          <cell r="H23">
            <v>6.5269758554170835E-3</v>
          </cell>
          <cell r="I23">
            <v>6.7822849109946973E-2</v>
          </cell>
          <cell r="J23">
            <v>6.4812870766061112E-2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4.4412705163664103E-3</v>
          </cell>
          <cell r="F24">
            <v>6.9357171558341598E-6</v>
          </cell>
          <cell r="G24">
            <v>2.7625665544687E-5</v>
          </cell>
          <cell r="H24">
            <v>1.49235320699618E-2</v>
          </cell>
          <cell r="I24">
            <v>2.1413969045232299E-2</v>
          </cell>
          <cell r="J24">
            <v>3.0462933665097499E-2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4.4433626626298565E-3</v>
          </cell>
          <cell r="F25">
            <v>4.4468808427900221E-3</v>
          </cell>
          <cell r="G25">
            <v>4.4708003778973736E-3</v>
          </cell>
          <cell r="H25">
            <v>1.8184854830134437E-2</v>
          </cell>
          <cell r="I25">
            <v>3.4126813059687476E-2</v>
          </cell>
          <cell r="J25">
            <v>4.2967500445493502E-2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E26">
            <v>8.1782843916792727E-5</v>
          </cell>
          <cell r="F26">
            <v>3.0372946485744754E-4</v>
          </cell>
          <cell r="G26">
            <v>0.16649146031573386</v>
          </cell>
          <cell r="H26">
            <v>1.8734648383710714E-4</v>
          </cell>
          <cell r="I26">
            <v>58.654632669351926</v>
          </cell>
          <cell r="J26">
            <v>1.4188702054244648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E27">
            <v>8.1782843916792578E-5</v>
          </cell>
          <cell r="F27">
            <v>3.0348140853374143E-4</v>
          </cell>
          <cell r="G27">
            <v>0.16627909875920879</v>
          </cell>
          <cell r="H27">
            <v>1.8734648383710741E-4</v>
          </cell>
          <cell r="I27">
            <v>58.65463266935199</v>
          </cell>
          <cell r="J27">
            <v>1.4188702054244648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E28">
            <v>7.0115606723168724E-5</v>
          </cell>
          <cell r="F28">
            <v>3.7756385938003228E-4</v>
          </cell>
          <cell r="G28">
            <v>0.19817733969856438</v>
          </cell>
          <cell r="H28">
            <v>2.090833307118775E-4</v>
          </cell>
          <cell r="I28">
            <v>63.069538182004237</v>
          </cell>
          <cell r="J28">
            <v>1.4332235741908652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E29">
            <v>7.0115606723168724E-5</v>
          </cell>
          <cell r="F29">
            <v>3.7756385938003228E-4</v>
          </cell>
          <cell r="G29">
            <v>0.19817733969856438</v>
          </cell>
          <cell r="H29">
            <v>2.090833307118775E-4</v>
          </cell>
          <cell r="I29">
            <v>63.069538182004237</v>
          </cell>
          <cell r="J29">
            <v>1.4332235741908652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2.2780765407812899E-2</v>
          </cell>
          <cell r="F30">
            <v>3.4771823170525899E-4</v>
          </cell>
          <cell r="G30">
            <v>2.6819820512620198E-4</v>
          </cell>
          <cell r="H30">
            <v>2.2182252989755199E-4</v>
          </cell>
          <cell r="I30">
            <v>3.6255989207861399</v>
          </cell>
          <cell r="J30">
            <v>4.9097262419036303E-4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2.2780765407812899E-2</v>
          </cell>
          <cell r="F31">
            <v>2.3088743468554933E-2</v>
          </cell>
          <cell r="G31">
            <v>2.3204402496029314E-2</v>
          </cell>
          <cell r="H31">
            <v>2.272130135873747E-2</v>
          </cell>
          <cell r="I31">
            <v>3.659981740971622</v>
          </cell>
          <cell r="J31">
            <v>8.8297400253060321E-2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1.7135372129892901E-3</v>
          </cell>
          <cell r="J32">
            <v>6.6061838507423642E-2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1.7308456696861498E-3</v>
          </cell>
          <cell r="J33">
            <v>6.672912980547839E-2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8.9610685711078706E-6</v>
          </cell>
          <cell r="I34">
            <v>4.8618961020876301E-3</v>
          </cell>
          <cell r="J34">
            <v>1.8351866303906799E-3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8.9610685711078706E-6</v>
          </cell>
          <cell r="I35">
            <v>4.8974759276938402E-3</v>
          </cell>
          <cell r="J35">
            <v>6.7326625580845199E-3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1.0780908172865467E-2</v>
          </cell>
          <cell r="F36">
            <v>1.0722898046351995E-2</v>
          </cell>
          <cell r="G36">
            <v>1.0853586839571366E-2</v>
          </cell>
          <cell r="H36">
            <v>5.9379508779026542E-3</v>
          </cell>
          <cell r="I36">
            <v>7.2629858016045198E-2</v>
          </cell>
          <cell r="J36">
            <v>9.5579523025209515E-2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1.0780908172865453E-2</v>
          </cell>
          <cell r="F37">
            <v>1.0722898046351981E-2</v>
          </cell>
          <cell r="G37">
            <v>1.0853586839571359E-2</v>
          </cell>
          <cell r="H37">
            <v>5.9379508779026481E-3</v>
          </cell>
          <cell r="I37">
            <v>7.2629858016045143E-2</v>
          </cell>
          <cell r="J37">
            <v>9.557952302520939E-2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1.1940924316586264E-2</v>
          </cell>
          <cell r="F38">
            <v>1.1875838085072562E-2</v>
          </cell>
          <cell r="G38">
            <v>1.2005436285344017E-2</v>
          </cell>
          <cell r="H38">
            <v>6.5687816407458731E-3</v>
          </cell>
          <cell r="I38">
            <v>8.0321234321038937E-2</v>
          </cell>
          <cell r="J38">
            <v>0.10569950363486154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1.1940924316586264E-2</v>
          </cell>
          <cell r="F39">
            <v>1.1875838085072562E-2</v>
          </cell>
          <cell r="G39">
            <v>1.2005436285344017E-2</v>
          </cell>
          <cell r="H39">
            <v>6.5687816407458731E-3</v>
          </cell>
          <cell r="I39">
            <v>8.0321234321038937E-2</v>
          </cell>
          <cell r="J39">
            <v>0.10569950363486154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4.4280624255771698E-3</v>
          </cell>
          <cell r="F40">
            <v>6.9220911559891799E-6</v>
          </cell>
          <cell r="G40">
            <v>2.7000383732530901E-5</v>
          </cell>
          <cell r="H40">
            <v>1.51629764127296E-2</v>
          </cell>
          <cell r="I40">
            <v>3.0379765744937101E-2</v>
          </cell>
          <cell r="J40">
            <v>6.4393850732292299E-2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4.4299094038485788E-3</v>
          </cell>
          <cell r="F41">
            <v>4.4334497998193105E-3</v>
          </cell>
          <cell r="G41">
            <v>4.4567937538553936E-3</v>
          </cell>
          <cell r="H41">
            <v>1.8414035177388544E-2</v>
          </cell>
          <cell r="I41">
            <v>4.2842374013213301E-2</v>
          </cell>
          <cell r="J41">
            <v>8.1343563583433295E-2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0.37929872033910644</v>
          </cell>
          <cell r="J42">
            <v>4.4441184798172095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97.376262390048012</v>
          </cell>
          <cell r="J43">
            <v>1140.9256714503194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-97.376262390047998</v>
          </cell>
          <cell r="J44">
            <v>-1140.9256714503199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105.162947688711</v>
          </cell>
          <cell r="J45">
            <v>1207.99971041092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1.1332214190593859</v>
          </cell>
          <cell r="J46">
            <v>13.017238258738388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1.42467228061053E-2</v>
          </cell>
          <cell r="J47">
            <v>0.15154672398685601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1.42467228061053E-2</v>
          </cell>
          <cell r="J48">
            <v>0.16579316663061341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5.4524349597820154E-2</v>
          </cell>
          <cell r="G49">
            <v>8.1846183007682718E-2</v>
          </cell>
          <cell r="H49">
            <v>0.12586594993773115</v>
          </cell>
          <cell r="I49">
            <v>0.17010214021814654</v>
          </cell>
          <cell r="J49">
            <v>0.28470916289917514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3.3242866626559353</v>
          </cell>
          <cell r="F50">
            <v>3.8270346159382602</v>
          </cell>
          <cell r="G50">
            <v>5.5050040595593934</v>
          </cell>
          <cell r="H50">
            <v>5.2706565419799629</v>
          </cell>
          <cell r="I50">
            <v>5.5832952040348198</v>
          </cell>
          <cell r="J50">
            <v>5.6408581870393455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3.1216003371366563</v>
          </cell>
          <cell r="F51">
            <v>3.5392270461099855</v>
          </cell>
          <cell r="G51">
            <v>2.0264377018483946</v>
          </cell>
          <cell r="H51">
            <v>2.0736185833943077</v>
          </cell>
          <cell r="I51">
            <v>2.3941010559327194</v>
          </cell>
          <cell r="J51">
            <v>2.5716899763375864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1.8941562674150236</v>
          </cell>
          <cell r="F52">
            <v>1.8958218293774023</v>
          </cell>
          <cell r="G52">
            <v>2.0842908486765457</v>
          </cell>
          <cell r="H52">
            <v>2.2151700292656376</v>
          </cell>
          <cell r="I52">
            <v>0.91343401500513566</v>
          </cell>
          <cell r="J52">
            <v>2.4584440201359841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0.35015407385318015</v>
          </cell>
          <cell r="G53">
            <v>0.1532677406687965</v>
          </cell>
          <cell r="H53">
            <v>0.18372196465627602</v>
          </cell>
          <cell r="I53">
            <v>0.30074669011973276</v>
          </cell>
          <cell r="J53">
            <v>0.56370165473346934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9.2187758753329447</v>
          </cell>
          <cell r="F54">
            <v>10.684985663174078</v>
          </cell>
          <cell r="G54">
            <v>10.864257188628406</v>
          </cell>
          <cell r="H54">
            <v>10.844169127442743</v>
          </cell>
          <cell r="I54">
            <v>10.211279152683639</v>
          </cell>
          <cell r="J54">
            <v>12.473610004040092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0.62804258623588305</v>
          </cell>
          <cell r="F55">
            <v>1.2755268753936801E-4</v>
          </cell>
          <cell r="G55">
            <v>2.51159397449704E-6</v>
          </cell>
          <cell r="H55">
            <v>2.8483660759881101E-6</v>
          </cell>
          <cell r="I55">
            <v>8.5023919941890896E-5</v>
          </cell>
          <cell r="J55">
            <v>1.6649232702505502E-5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0.62804258623588305</v>
          </cell>
          <cell r="F56">
            <v>0.62817013892342199</v>
          </cell>
          <cell r="G56">
            <v>0.62817265051739701</v>
          </cell>
          <cell r="H56">
            <v>0.62817549888347302</v>
          </cell>
          <cell r="I56">
            <v>0.62826529879415505</v>
          </cell>
          <cell r="J56">
            <v>0.62828194802685799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6.6264938918512012E-2</v>
          </cell>
          <cell r="F57">
            <v>9.407681799120716E-4</v>
          </cell>
          <cell r="G57">
            <v>9.8379410313406985E-3</v>
          </cell>
          <cell r="H57">
            <v>3.7220451003327245E-4</v>
          </cell>
          <cell r="I57">
            <v>4.5225679936678739E-2</v>
          </cell>
          <cell r="J57">
            <v>1.3538261582022535E-2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6.6264938918512165E-2</v>
          </cell>
          <cell r="F58">
            <v>9.4014141896609643E-4</v>
          </cell>
          <cell r="G58">
            <v>9.8277038398408793E-3</v>
          </cell>
          <cell r="H58">
            <v>3.7220451003327245E-4</v>
          </cell>
          <cell r="I58">
            <v>4.5225679936678927E-2</v>
          </cell>
          <cell r="J58">
            <v>1.3538261582022553E-2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8.8311649964185349E-2</v>
          </cell>
          <cell r="F59">
            <v>1.2417092268235902E-3</v>
          </cell>
          <cell r="G59">
            <v>1.2702531332681944E-2</v>
          </cell>
          <cell r="H59">
            <v>4.7375739409929237E-4</v>
          </cell>
          <cell r="I59">
            <v>5.3215360287847804E-2</v>
          </cell>
          <cell r="J59">
            <v>1.5050926741855493E-2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8.8311649964185349E-2</v>
          </cell>
          <cell r="F60">
            <v>1.2417092268235902E-3</v>
          </cell>
          <cell r="G60">
            <v>1.2702531332681944E-2</v>
          </cell>
          <cell r="H60">
            <v>4.7375739409929237E-4</v>
          </cell>
          <cell r="I60">
            <v>5.3215360287847804E-2</v>
          </cell>
          <cell r="J60">
            <v>1.5050926741855493E-2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2.4280993181788099E-2</v>
          </cell>
          <cell r="F61">
            <v>3.9520876358623501E-4</v>
          </cell>
          <cell r="G61">
            <v>3.5462532207224898E-4</v>
          </cell>
          <cell r="H61">
            <v>2.13686782097347E-4</v>
          </cell>
          <cell r="I61">
            <v>2.1887056591008E-3</v>
          </cell>
          <cell r="J61">
            <v>2.7586627551398602E-3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2.4280993181788099E-2</v>
          </cell>
          <cell r="F62">
            <v>2.4634631919885165E-2</v>
          </cell>
          <cell r="G62">
            <v>2.4857933654431223E-2</v>
          </cell>
          <cell r="H62">
            <v>2.4732379600696762E-2</v>
          </cell>
          <cell r="I62">
            <v>2.0679888413453276E-2</v>
          </cell>
          <cell r="J62">
            <v>1.2027558185224892E-2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3.2149868832921247E-3</v>
          </cell>
          <cell r="I63">
            <v>2.8442830839353676E-2</v>
          </cell>
          <cell r="J63">
            <v>1.2419410688971485E-2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1.1909265093715446E-3</v>
          </cell>
          <cell r="I64">
            <v>1.099020913028648E-2</v>
          </cell>
          <cell r="J64">
            <v>4.99711451239882E-3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5.0034714634027908E-3</v>
          </cell>
          <cell r="I65">
            <v>5.7392462228571112E-2</v>
          </cell>
          <cell r="J65">
            <v>2.0173888058803494E-2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1.6630206442563001E-4</v>
          </cell>
          <cell r="I66">
            <v>1.2823783225327499E-4</v>
          </cell>
          <cell r="J66">
            <v>4.1049918711945203E-5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1.6630206442563001E-4</v>
          </cell>
          <cell r="I67">
            <v>9.799633265540383E-4</v>
          </cell>
          <cell r="J67">
            <v>4.4612866754982841E-4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3.5600126292326757</v>
          </cell>
          <cell r="F68">
            <v>3.4647193098122413</v>
          </cell>
          <cell r="G68">
            <v>3.9355579699592212E-2</v>
          </cell>
          <cell r="H68">
            <v>7.8442736175054533E-6</v>
          </cell>
          <cell r="I68">
            <v>5.665934434187298E-4</v>
          </cell>
          <cell r="J68">
            <v>1.3661270687521166E-3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330.01317072986899</v>
          </cell>
          <cell r="F69">
            <v>321.17948001959502</v>
          </cell>
          <cell r="G69">
            <v>3.6482622381522001</v>
          </cell>
          <cell r="H69">
            <v>7.2716416434275596E-4</v>
          </cell>
          <cell r="I69">
            <v>5.2523212204916299E-2</v>
          </cell>
          <cell r="J69">
            <v>0.12663997927332099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3.5600126292326757</v>
          </cell>
          <cell r="F70">
            <v>3.4647193098122413</v>
          </cell>
          <cell r="G70">
            <v>3.9355579699592212E-2</v>
          </cell>
          <cell r="H70">
            <v>7.8442736175054533E-6</v>
          </cell>
          <cell r="I70">
            <v>5.665934434187298E-4</v>
          </cell>
          <cell r="J70">
            <v>1.3661270687521166E-3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5.6766465188260633E-4</v>
          </cell>
          <cell r="F71">
            <v>5.9054821072668511E-4</v>
          </cell>
          <cell r="G71">
            <v>2.5976174827561167E-4</v>
          </cell>
          <cell r="H71">
            <v>4.3289432402291166E-4</v>
          </cell>
          <cell r="I71">
            <v>5.0864448045421631E-2</v>
          </cell>
          <cell r="J71">
            <v>1.3223821438837637E-2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5.6766465188260763E-4</v>
          </cell>
          <cell r="F72">
            <v>5.9015477421054568E-4</v>
          </cell>
          <cell r="G72">
            <v>2.5949144468739572E-4</v>
          </cell>
          <cell r="H72">
            <v>4.3289432402291166E-4</v>
          </cell>
          <cell r="I72">
            <v>5.0864448045421798E-2</v>
          </cell>
          <cell r="J72">
            <v>1.3223821438837642E-2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4.4276827970082583E-4</v>
          </cell>
          <cell r="F73">
            <v>4.4341598669487599E-4</v>
          </cell>
          <cell r="G73">
            <v>2.0685916242233791E-4</v>
          </cell>
          <cell r="H73">
            <v>5.496306520445972E-4</v>
          </cell>
          <cell r="I73">
            <v>5.9849209992693893E-2</v>
          </cell>
          <cell r="J73">
            <v>1.470154880495496E-2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4.4276827970082583E-4</v>
          </cell>
          <cell r="F74">
            <v>4.4341598669487599E-4</v>
          </cell>
          <cell r="G74">
            <v>2.0685916242233791E-4</v>
          </cell>
          <cell r="H74">
            <v>5.496306520445972E-4</v>
          </cell>
          <cell r="I74">
            <v>5.9849209992693893E-2</v>
          </cell>
          <cell r="J74">
            <v>1.470154880495496E-2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2.4248550699012199E-2</v>
          </cell>
          <cell r="F75">
            <v>6.0985451048653505E-4</v>
          </cell>
          <cell r="G75">
            <v>9.4090801201099003E-4</v>
          </cell>
          <cell r="H75">
            <v>7.6803853917065904E-4</v>
          </cell>
          <cell r="I75">
            <v>2.2364629130151199E-3</v>
          </cell>
          <cell r="J75">
            <v>4.8348948822275603E-3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2.4248550699012199E-2</v>
          </cell>
          <cell r="F76">
            <v>2.479105331453731E-2</v>
          </cell>
          <cell r="G76">
            <v>2.5556017068833752E-2</v>
          </cell>
          <cell r="H76">
            <v>2.6041112319753808E-2</v>
          </cell>
          <cell r="I76">
            <v>3.3107273054759939E-2</v>
          </cell>
          <cell r="J76">
            <v>1.9186908453569979E-2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1.6339378168720637</v>
          </cell>
          <cell r="J77">
            <v>376.99571523346344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-1.63393781687207</v>
          </cell>
          <cell r="J78">
            <v>-376.99571523346299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1.7740379914640107E-2</v>
          </cell>
          <cell r="J79">
            <v>4.1307602872421114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1.9979257122308001</v>
          </cell>
          <cell r="J80">
            <v>425.06005937933702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3.5424214755865262E-2</v>
          </cell>
          <cell r="J81">
            <v>7.5365258755201534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2.1343991908768299E-3</v>
          </cell>
          <cell r="J82">
            <v>0.17623480798031932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2.1343991908768299E-3</v>
          </cell>
          <cell r="J83">
            <v>0.17410153377529999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2.1343991908768299E-3</v>
          </cell>
          <cell r="J84">
            <v>0.17623480798031951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6.3442460558246108E-2</v>
          </cell>
          <cell r="J85">
            <v>0.71175386267601159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108.61380940613942</v>
          </cell>
          <cell r="J86">
            <v>1088.6143523358719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-108.613809406139</v>
          </cell>
          <cell r="J87">
            <v>-1088.6143523358701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0.59525964401421028</v>
          </cell>
          <cell r="J88">
            <v>6.3061392233094526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122.03798809678599</v>
          </cell>
          <cell r="J89">
            <v>1223.1621936358099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1.3150645269050207</v>
          </cell>
          <cell r="J90">
            <v>13.180627086592793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9.5448211282578698E-3</v>
          </cell>
          <cell r="J91">
            <v>3.76400871962757E-2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9.5448211282578698E-3</v>
          </cell>
          <cell r="J92">
            <v>4.7184666076219885E-2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1.8728874550817201E-3</v>
          </cell>
          <cell r="I93">
            <v>0.60003659658874597</v>
          </cell>
          <cell r="J93">
            <v>0.49538293248537901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1.5620678348766705E-5</v>
          </cell>
          <cell r="I94">
            <v>4.9620047632799877E-3</v>
          </cell>
          <cell r="J94">
            <v>3.952523397489722E-3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1.3947034239970268E-5</v>
          </cell>
          <cell r="I95">
            <v>4.6811365691320685E-3</v>
          </cell>
          <cell r="J95">
            <v>3.952523397489722E-3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3.320722438088158E-5</v>
          </cell>
          <cell r="I96">
            <v>1.0638946748027423E-2</v>
          </cell>
          <cell r="J96">
            <v>8.7833853277549424E-3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2.0832909034397801E-5</v>
          </cell>
          <cell r="I97">
            <v>1.69379879143382E-4</v>
          </cell>
          <cell r="J97">
            <v>2.1789613570048202E-6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2.0832909034397801E-5</v>
          </cell>
          <cell r="I98">
            <v>4.1152592900977421E-4</v>
          </cell>
          <cell r="J98">
            <v>3.5279750563633913E-4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320.227058635444</v>
          </cell>
          <cell r="F99">
            <v>73.040682430698695</v>
          </cell>
          <cell r="G99">
            <v>61.637780583763899</v>
          </cell>
          <cell r="H99">
            <v>6.2842461620434095E-2</v>
          </cell>
          <cell r="I99">
            <v>27.166220308907501</v>
          </cell>
          <cell r="J99">
            <v>1.51312790175469E-3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5.8849486175827064</v>
          </cell>
          <cell r="F100">
            <v>1.2942492453909529</v>
          </cell>
          <cell r="G100">
            <v>1.3569838433659243</v>
          </cell>
          <cell r="H100">
            <v>1.0628572647528821E-3</v>
          </cell>
          <cell r="I100">
            <v>0.80160723694489644</v>
          </cell>
          <cell r="J100">
            <v>7.6694316814100194</v>
          </cell>
        </row>
        <row r="101">
          <cell r="B101" t="str">
            <v>D-ENGA</v>
          </cell>
          <cell r="C101" t="str">
            <v>VAR_fout</v>
          </cell>
          <cell r="D101" t="str">
            <v>EH2</v>
          </cell>
          <cell r="I101">
            <v>2.6973035367316715E-3</v>
          </cell>
          <cell r="J101">
            <v>0.16527936967061113</v>
          </cell>
        </row>
        <row r="102">
          <cell r="B102" t="str">
            <v>D-ENGA</v>
          </cell>
          <cell r="C102" t="str">
            <v>VAR_fin</v>
          </cell>
          <cell r="D102" t="str">
            <v>NGA</v>
          </cell>
          <cell r="E102">
            <v>5.6777847275788025</v>
          </cell>
          <cell r="F102">
            <v>1.2950475608279919</v>
          </cell>
          <cell r="G102">
            <v>1.0928684500667356</v>
          </cell>
          <cell r="H102">
            <v>1.1142280429154974E-3</v>
          </cell>
          <cell r="I102">
            <v>0.4816705728529691</v>
          </cell>
          <cell r="J102">
            <v>2.6828508896359766E-5</v>
          </cell>
        </row>
        <row r="103">
          <cell r="B103" t="str">
            <v>D-ENGA</v>
          </cell>
          <cell r="C103" t="str">
            <v>VAR_fin</v>
          </cell>
          <cell r="D103" t="str">
            <v>BNGA</v>
          </cell>
          <cell r="E103">
            <v>0.22596406213237463</v>
          </cell>
          <cell r="F103">
            <v>3.710273659313645E-3</v>
          </cell>
          <cell r="G103">
            <v>0.26855466464538674</v>
          </cell>
          <cell r="H103">
            <v>1.0505210427605059E-5</v>
          </cell>
          <cell r="I103">
            <v>0.3225307225625626</v>
          </cell>
          <cell r="J103">
            <v>7.6946360486163314</v>
          </cell>
        </row>
        <row r="104">
          <cell r="B104" t="str">
            <v>D-ENGA</v>
          </cell>
          <cell r="C104" t="str">
            <v>VAR_fin</v>
          </cell>
          <cell r="D104" t="str">
            <v>H2</v>
          </cell>
          <cell r="I104">
            <v>2.6441425263563625E-3</v>
          </cell>
          <cell r="J104">
            <v>0.16524548817579307</v>
          </cell>
        </row>
        <row r="105">
          <cell r="B105" t="str">
            <v>D-ENGA</v>
          </cell>
          <cell r="C105" t="str">
            <v>VAR_ncap</v>
          </cell>
          <cell r="D105" t="str">
            <v>-</v>
          </cell>
          <cell r="E105">
            <v>4.4381371977534001E-4</v>
          </cell>
          <cell r="F105">
            <v>5.64106496238062E-6</v>
          </cell>
          <cell r="G105">
            <v>7.6168698467990798E-6</v>
          </cell>
          <cell r="H105">
            <v>1.2127351712855399E-5</v>
          </cell>
          <cell r="I105">
            <v>4.1216180739912802E-5</v>
          </cell>
          <cell r="J105">
            <v>6.9526105567763405E-5</v>
          </cell>
        </row>
        <row r="106">
          <cell r="B106" t="str">
            <v>D-ENGA</v>
          </cell>
          <cell r="C106" t="str">
            <v>VAR_cap</v>
          </cell>
          <cell r="D106" t="str">
            <v>-</v>
          </cell>
          <cell r="E106">
            <v>1.0279558082607554</v>
          </cell>
          <cell r="F106">
            <v>1.0279614493257179</v>
          </cell>
          <cell r="G106">
            <v>1.0279690661955645</v>
          </cell>
          <cell r="H106">
            <v>1.0279811935472773</v>
          </cell>
          <cell r="I106">
            <v>1.0280537086533106</v>
          </cell>
          <cell r="J106">
            <v>0.7252879215326582</v>
          </cell>
        </row>
        <row r="107">
          <cell r="B107" t="str">
            <v>D-ILFO</v>
          </cell>
          <cell r="C107" t="str">
            <v>VAR_fout</v>
          </cell>
          <cell r="D107" t="str">
            <v>CO2</v>
          </cell>
          <cell r="E107">
            <v>693.20191611779796</v>
          </cell>
          <cell r="F107">
            <v>659.57527017590303</v>
          </cell>
          <cell r="G107">
            <v>597.36194934803905</v>
          </cell>
          <cell r="H107">
            <v>369.813180616593</v>
          </cell>
          <cell r="I107">
            <v>287.566367649661</v>
          </cell>
          <cell r="J107">
            <v>7.9404661892663007E-3</v>
          </cell>
        </row>
        <row r="108">
          <cell r="B108" t="str">
            <v>D-ILFO</v>
          </cell>
          <cell r="C108" t="str">
            <v>VAR_fout</v>
          </cell>
          <cell r="D108" t="str">
            <v>ILFO</v>
          </cell>
          <cell r="E108">
            <v>9.2486382125413655</v>
          </cell>
          <cell r="F108">
            <v>8.7999944979371989</v>
          </cell>
          <cell r="G108">
            <v>7.9701300001254785</v>
          </cell>
          <cell r="H108">
            <v>4.9341952080588767</v>
          </cell>
          <cell r="I108">
            <v>6.3942932112602433</v>
          </cell>
          <cell r="J108">
            <v>2.557803791687856</v>
          </cell>
        </row>
        <row r="109">
          <cell r="B109" t="str">
            <v>D-ILFO</v>
          </cell>
          <cell r="C109" t="str">
            <v>VAR_fin</v>
          </cell>
          <cell r="D109" t="str">
            <v>LFO</v>
          </cell>
          <cell r="E109">
            <v>9.4057247777177526</v>
          </cell>
          <cell r="F109">
            <v>8.9494609250461643</v>
          </cell>
          <cell r="G109">
            <v>8.1053181729720318</v>
          </cell>
          <cell r="H109">
            <v>5.0178179188140195</v>
          </cell>
          <cell r="I109">
            <v>3.9018503073224071</v>
          </cell>
          <cell r="J109">
            <v>1.077403824866526E-4</v>
          </cell>
        </row>
        <row r="110">
          <cell r="B110" t="str">
            <v>D-ILFO</v>
          </cell>
          <cell r="C110" t="str">
            <v>VAR_fin</v>
          </cell>
          <cell r="D110" t="str">
            <v>BDS</v>
          </cell>
          <cell r="G110">
            <v>1.8314528234289487E-4</v>
          </cell>
          <cell r="H110">
            <v>1.8380051074561724E-4</v>
          </cell>
          <cell r="I110">
            <v>2.6012070699894672</v>
          </cell>
          <cell r="J110">
            <v>2.6011952319613512</v>
          </cell>
        </row>
        <row r="111">
          <cell r="B111" t="str">
            <v>HPLNGA</v>
          </cell>
          <cell r="C111" t="str">
            <v>VAR_fout</v>
          </cell>
          <cell r="D111" t="str">
            <v>LTH</v>
          </cell>
          <cell r="E111">
            <v>1.7329366798791874</v>
          </cell>
          <cell r="F111">
            <v>1.1023460860116394</v>
          </cell>
          <cell r="G111">
            <v>1.1175770030504322</v>
          </cell>
          <cell r="H111">
            <v>1.7543856143318266E-5</v>
          </cell>
          <cell r="I111">
            <v>7.0703595632890133E-4</v>
          </cell>
          <cell r="J111">
            <v>7.5755641550875907E-4</v>
          </cell>
        </row>
        <row r="112">
          <cell r="B112" t="str">
            <v>HPLNGA</v>
          </cell>
          <cell r="C112" t="str">
            <v>VAR_fout</v>
          </cell>
          <cell r="D112" t="str">
            <v>CO2_E</v>
          </cell>
          <cell r="E112">
            <v>114.385927256798</v>
          </cell>
          <cell r="F112">
            <v>72.762542723219198</v>
          </cell>
          <cell r="G112">
            <v>73.767889651749101</v>
          </cell>
          <cell r="H112">
            <v>1.15801706774031E-3</v>
          </cell>
          <cell r="I112">
            <v>4.6669312507261501E-2</v>
          </cell>
          <cell r="J112">
            <v>5.00040157516582E-2</v>
          </cell>
        </row>
        <row r="113">
          <cell r="B113" t="str">
            <v>HPLNGA</v>
          </cell>
          <cell r="C113" t="str">
            <v>VAR_fin</v>
          </cell>
          <cell r="D113" t="str">
            <v>ENGA</v>
          </cell>
          <cell r="E113">
            <v>2.0281192776027943</v>
          </cell>
          <cell r="F113">
            <v>1.2901160057308354</v>
          </cell>
          <cell r="G113">
            <v>1.3079413058820757</v>
          </cell>
          <cell r="H113">
            <v>2.0532217513126054E-5</v>
          </cell>
          <cell r="I113">
            <v>8.2747007991598406E-4</v>
          </cell>
          <cell r="J113">
            <v>8.8659602396557239E-4</v>
          </cell>
        </row>
        <row r="114">
          <cell r="B114" t="str">
            <v>HPLNGA</v>
          </cell>
          <cell r="C114" t="str">
            <v>VAR_ncap</v>
          </cell>
          <cell r="D114" t="str">
            <v>-</v>
          </cell>
          <cell r="E114">
            <v>1.5515932728427101E-4</v>
          </cell>
          <cell r="F114">
            <v>9.7637164509889205E-5</v>
          </cell>
          <cell r="G114">
            <v>9.2179394182992494E-5</v>
          </cell>
          <cell r="H114">
            <v>3.0732993454963002E-4</v>
          </cell>
          <cell r="I114">
            <v>1.96235779624566E-4</v>
          </cell>
          <cell r="J114">
            <v>1.7248712487379699E-4</v>
          </cell>
        </row>
        <row r="115">
          <cell r="B115" t="str">
            <v>HPLNGA</v>
          </cell>
          <cell r="C115" t="str">
            <v>VAR_cap</v>
          </cell>
          <cell r="D115" t="str">
            <v>-</v>
          </cell>
          <cell r="E115">
            <v>0.22963391947586725</v>
          </cell>
          <cell r="F115">
            <v>0.14588099104785313</v>
          </cell>
          <cell r="G115">
            <v>0.14302507782632812</v>
          </cell>
          <cell r="H115">
            <v>1.2224776182453767E-2</v>
          </cell>
          <cell r="I115">
            <v>5.0130575917898702E-3</v>
          </cell>
          <cell r="J115">
            <v>3.9591250649812079E-3</v>
          </cell>
        </row>
        <row r="116">
          <cell r="B116" t="str">
            <v>G-INTC-IMP00-AT</v>
          </cell>
          <cell r="C116" t="str">
            <v>VAR_fout</v>
          </cell>
          <cell r="D116" t="str">
            <v>ELC</v>
          </cell>
          <cell r="E116">
            <v>15.013812225847094</v>
          </cell>
          <cell r="F116">
            <v>7.2101894946406198</v>
          </cell>
          <cell r="G116">
            <v>3.8810498598673329</v>
          </cell>
          <cell r="H116">
            <v>1.4999190356361496</v>
          </cell>
          <cell r="I116">
            <v>4.1995043906015121</v>
          </cell>
          <cell r="J116">
            <v>3.9373866327747855</v>
          </cell>
        </row>
        <row r="117">
          <cell r="B117" t="str">
            <v>G-INTC-IMP00-AT</v>
          </cell>
          <cell r="C117" t="str">
            <v>VAR_fin</v>
          </cell>
          <cell r="D117" t="str">
            <v>ELC_I-AT</v>
          </cell>
          <cell r="E117">
            <v>15.013812225847094</v>
          </cell>
          <cell r="F117">
            <v>7.2101894946406198</v>
          </cell>
          <cell r="G117">
            <v>3.8810498598673329</v>
          </cell>
          <cell r="H117">
            <v>1.4999190356361496</v>
          </cell>
          <cell r="I117">
            <v>4.1995043906015121</v>
          </cell>
          <cell r="J117">
            <v>3.9373866327747855</v>
          </cell>
        </row>
        <row r="118">
          <cell r="B118" t="str">
            <v>G-INTC-IMP00-AT</v>
          </cell>
          <cell r="C118" t="str">
            <v>VAR_ncap</v>
          </cell>
          <cell r="D118" t="str">
            <v>-</v>
          </cell>
          <cell r="E118">
            <v>1.2816123750781501E-5</v>
          </cell>
          <cell r="F118">
            <v>1.0836862869912201E-5</v>
          </cell>
          <cell r="G118">
            <v>1.5429584236058499E-5</v>
          </cell>
          <cell r="H118">
            <v>2.8920460665619499E-5</v>
          </cell>
          <cell r="I118">
            <v>5.4522169833167303E-3</v>
          </cell>
          <cell r="J118">
            <v>5.3665157612634799E-3</v>
          </cell>
        </row>
        <row r="119">
          <cell r="B119" t="str">
            <v>G-INTC-IMP00-AT</v>
          </cell>
          <cell r="C119" t="str">
            <v>VAR_cap</v>
          </cell>
          <cell r="D119" t="str">
            <v>-</v>
          </cell>
          <cell r="E119">
            <v>0.77346074053550395</v>
          </cell>
          <cell r="F119">
            <v>0.77284992096774996</v>
          </cell>
          <cell r="G119">
            <v>0.77276158842870402</v>
          </cell>
          <cell r="H119">
            <v>0.7727388633277541</v>
          </cell>
          <cell r="I119">
            <v>0.7727616867229532</v>
          </cell>
          <cell r="J119">
            <v>0.78290927190108439</v>
          </cell>
        </row>
        <row r="120">
          <cell r="B120" t="str">
            <v>CHPWST</v>
          </cell>
          <cell r="C120" t="str">
            <v>VAR_fout</v>
          </cell>
          <cell r="D120" t="str">
            <v>ELC35</v>
          </cell>
          <cell r="E120">
            <v>1.4050493006982754</v>
          </cell>
          <cell r="F120">
            <v>1.2995364867264234</v>
          </cell>
          <cell r="G120">
            <v>1.3189407580746482</v>
          </cell>
          <cell r="H120">
            <v>1.3043624362317303</v>
          </cell>
          <cell r="I120">
            <v>1.1148639789010051</v>
          </cell>
          <cell r="J120">
            <v>0.50243740789784652</v>
          </cell>
        </row>
        <row r="121">
          <cell r="B121" t="str">
            <v>CHPWST</v>
          </cell>
          <cell r="C121" t="str">
            <v>VAR_fout</v>
          </cell>
          <cell r="D121" t="str">
            <v>LTH</v>
          </cell>
          <cell r="E121">
            <v>14.159824818053398</v>
          </cell>
          <cell r="F121">
            <v>13.051659009400407</v>
          </cell>
          <cell r="G121">
            <v>13.178297246973345</v>
          </cell>
          <cell r="H121">
            <v>12.920152287764159</v>
          </cell>
          <cell r="I121">
            <v>10.460400327562972</v>
          </cell>
          <cell r="J121">
            <v>4.4515954339749104</v>
          </cell>
        </row>
        <row r="122">
          <cell r="B122" t="str">
            <v>CHPWST</v>
          </cell>
          <cell r="C122" t="str">
            <v>VAR_fout</v>
          </cell>
          <cell r="D122" t="str">
            <v>CO2_E</v>
          </cell>
          <cell r="E122">
            <v>2783.98978700722</v>
          </cell>
          <cell r="F122">
            <v>2574.9248123120001</v>
          </cell>
          <cell r="G122">
            <v>2613.3727822379801</v>
          </cell>
          <cell r="H122">
            <v>2584.4870348822001</v>
          </cell>
          <cell r="I122">
            <v>2209.01140594863</v>
          </cell>
          <cell r="J122">
            <v>995.53845655296595</v>
          </cell>
        </row>
        <row r="123">
          <cell r="B123" t="str">
            <v>CHPWST</v>
          </cell>
          <cell r="C123" t="str">
            <v>VAR_fin</v>
          </cell>
          <cell r="D123" t="str">
            <v>EWST</v>
          </cell>
          <cell r="E123">
            <v>29.99988994619854</v>
          </cell>
          <cell r="F123">
            <v>27.747034615431026</v>
          </cell>
          <cell r="G123">
            <v>28.161344636185188</v>
          </cell>
          <cell r="H123">
            <v>27.850075806920277</v>
          </cell>
          <cell r="I123">
            <v>23.804002219274004</v>
          </cell>
          <cell r="J123">
            <v>10.727785092165583</v>
          </cell>
        </row>
        <row r="124">
          <cell r="B124" t="str">
            <v>CHPWST</v>
          </cell>
          <cell r="C124" t="str">
            <v>VAR_ncap</v>
          </cell>
          <cell r="D124" t="str">
            <v>-</v>
          </cell>
          <cell r="F124">
            <v>3.9947782149210401E-6</v>
          </cell>
          <cell r="G124">
            <v>2.51921637970806E-6</v>
          </cell>
          <cell r="H124">
            <v>8.8110858937779106E-6</v>
          </cell>
          <cell r="I124">
            <v>1.5768928107634601E-2</v>
          </cell>
          <cell r="J124">
            <v>9.2981451737995206E-5</v>
          </cell>
        </row>
        <row r="125">
          <cell r="B125" t="str">
            <v>CHPWST</v>
          </cell>
          <cell r="C125" t="str">
            <v>VAR_cap</v>
          </cell>
          <cell r="D125" t="str">
            <v>-</v>
          </cell>
          <cell r="E125">
            <v>7.6807136443232144E-2</v>
          </cell>
          <cell r="F125">
            <v>7.2094911490364261E-2</v>
          </cell>
          <cell r="G125">
            <v>7.2067044387858534E-2</v>
          </cell>
          <cell r="H125">
            <v>7.1271039921174811E-2</v>
          </cell>
          <cell r="I125">
            <v>6.091735040708695E-2</v>
          </cell>
          <cell r="J125">
            <v>3.2771694357404485E-2</v>
          </cell>
        </row>
        <row r="126">
          <cell r="B126" t="str">
            <v>RHES-CHPNGA</v>
          </cell>
          <cell r="C126" t="str">
            <v>VAR_fout</v>
          </cell>
          <cell r="D126" t="str">
            <v>CO2_R</v>
          </cell>
          <cell r="E126">
            <v>14.004886013819799</v>
          </cell>
          <cell r="F126">
            <v>0.39196323234197</v>
          </cell>
          <cell r="G126">
            <v>2.57568333717072</v>
          </cell>
          <cell r="H126">
            <v>2.6845130263438099E-3</v>
          </cell>
          <cell r="I126">
            <v>2.4858860675861401</v>
          </cell>
          <cell r="J126">
            <v>2.0216090486759399</v>
          </cell>
        </row>
        <row r="127">
          <cell r="B127" t="str">
            <v>RHES-CHPNGA</v>
          </cell>
          <cell r="C127" t="str">
            <v>VAR_fout</v>
          </cell>
          <cell r="D127" t="str">
            <v>RHES_NKEV_GAS_ELC_CHP</v>
          </cell>
          <cell r="E127">
            <v>3.2425262075854687E-2</v>
          </cell>
          <cell r="F127">
            <v>1.441542426836311E-3</v>
          </cell>
          <cell r="G127">
            <v>5.3475296607987137E-3</v>
          </cell>
          <cell r="H127">
            <v>9.8146685923148055E-6</v>
          </cell>
          <cell r="I127">
            <v>1.1091469719549243E-2</v>
          </cell>
          <cell r="J127">
            <v>1.0050595364620347E-2</v>
          </cell>
        </row>
        <row r="128">
          <cell r="B128" t="str">
            <v>RHES-CHPNGA</v>
          </cell>
          <cell r="C128" t="str">
            <v>VAR_fout</v>
          </cell>
          <cell r="D128" t="str">
            <v>RHES_LTH_CHPNGA</v>
          </cell>
          <cell r="E128">
            <v>7.8060816108539197E-2</v>
          </cell>
          <cell r="F128">
            <v>3.4352947568628308E-3</v>
          </cell>
          <cell r="G128">
            <v>1.2548303727853066E-2</v>
          </cell>
          <cell r="H128">
            <v>2.2433528211005321E-5</v>
          </cell>
          <cell r="I128">
            <v>2.490716007197024E-2</v>
          </cell>
          <cell r="J128">
            <v>2.1834051999002832E-2</v>
          </cell>
        </row>
        <row r="129">
          <cell r="B129" t="str">
            <v>RHES-CHPNGA</v>
          </cell>
          <cell r="C129" t="str">
            <v>VAR_fin</v>
          </cell>
          <cell r="D129" t="str">
            <v>RNGA</v>
          </cell>
          <cell r="E129">
            <v>0.24831358180531632</v>
          </cell>
          <cell r="F129">
            <v>6.9497027010987636E-3</v>
          </cell>
          <cell r="G129">
            <v>4.5668144276076614E-2</v>
          </cell>
          <cell r="H129">
            <v>4.7597748694039205E-5</v>
          </cell>
          <cell r="I129">
            <v>4.407599410613719E-2</v>
          </cell>
          <cell r="J129">
            <v>3.584413206872241E-2</v>
          </cell>
        </row>
        <row r="130">
          <cell r="B130" t="str">
            <v>RHES-CHPNGA</v>
          </cell>
          <cell r="C130" t="str">
            <v>VAR_ncap</v>
          </cell>
          <cell r="D130" t="str">
            <v>-</v>
          </cell>
          <cell r="F130">
            <v>1.54036042362331E-6</v>
          </cell>
          <cell r="G130">
            <v>6.1440895605298997E-5</v>
          </cell>
          <cell r="H130">
            <v>3.1488380264236199E-7</v>
          </cell>
          <cell r="I130">
            <v>5.7834387768833796E-4</v>
          </cell>
          <cell r="J130">
            <v>4.0559186165445503E-7</v>
          </cell>
        </row>
        <row r="131">
          <cell r="B131" t="str">
            <v>RHES-CHPNGA</v>
          </cell>
          <cell r="C131" t="str">
            <v>VAR_cap</v>
          </cell>
          <cell r="D131" t="str">
            <v>-</v>
          </cell>
          <cell r="E131">
            <v>4.1831968307109568E-3</v>
          </cell>
          <cell r="F131">
            <v>4.2733818379460343E-4</v>
          </cell>
          <cell r="G131">
            <v>4.7499032705118041E-4</v>
          </cell>
          <cell r="H131">
            <v>2.3356837836956915E-6</v>
          </cell>
          <cell r="I131">
            <v>9.8708153042964498E-4</v>
          </cell>
          <cell r="J131">
            <v>9.02151190030394E-4</v>
          </cell>
        </row>
        <row r="132">
          <cell r="B132" t="str">
            <v>RHEM-CHPWOD</v>
          </cell>
          <cell r="C132" t="str">
            <v>VAR_fout</v>
          </cell>
          <cell r="D132" t="str">
            <v>RHEM_KEV_WOD_ELC_CHP</v>
          </cell>
          <cell r="H132">
            <v>1.8980208968145899E-3</v>
          </cell>
          <cell r="I132">
            <v>2.2961954043147114E-2</v>
          </cell>
          <cell r="J132">
            <v>1.0500230234204639E-2</v>
          </cell>
        </row>
        <row r="133">
          <cell r="B133" t="str">
            <v>RHEM-CHPWOD</v>
          </cell>
          <cell r="C133" t="str">
            <v>VAR_fout</v>
          </cell>
          <cell r="D133" t="str">
            <v>RHEM_LTH_CHPWOD</v>
          </cell>
          <cell r="H133">
            <v>5.0489225826595048E-3</v>
          </cell>
          <cell r="I133">
            <v>6.1081060016253484E-2</v>
          </cell>
          <cell r="J133">
            <v>2.7931646928426142E-2</v>
          </cell>
        </row>
        <row r="134">
          <cell r="B134" t="str">
            <v>RHEM-CHPWOD</v>
          </cell>
          <cell r="C134" t="str">
            <v>VAR_fin</v>
          </cell>
          <cell r="D134" t="str">
            <v>RWOD</v>
          </cell>
          <cell r="H134">
            <v>7.3352174460149678E-3</v>
          </cell>
          <cell r="I134">
            <v>9.7876224029272221E-2</v>
          </cell>
          <cell r="J134">
            <v>3.7959174840854475E-2</v>
          </cell>
        </row>
        <row r="135">
          <cell r="B135" t="str">
            <v>RHEM-CHPWOD</v>
          </cell>
          <cell r="C135" t="str">
            <v>VAR_ncap</v>
          </cell>
          <cell r="D135" t="str">
            <v>-</v>
          </cell>
          <cell r="H135">
            <v>2.4839311776482498E-4</v>
          </cell>
          <cell r="I135">
            <v>1.9544208738984801E-4</v>
          </cell>
          <cell r="J135">
            <v>7.0899816053610306E-5</v>
          </cell>
        </row>
        <row r="136">
          <cell r="B136" t="str">
            <v>RHEM-CHPWOD</v>
          </cell>
          <cell r="C136" t="str">
            <v>VAR_cap</v>
          </cell>
          <cell r="D136" t="str">
            <v>-</v>
          </cell>
          <cell r="H136">
            <v>2.4839311776482498E-4</v>
          </cell>
          <cell r="I136">
            <v>1.7143535581296504E-3</v>
          </cell>
          <cell r="J136">
            <v>7.8307545782286604E-4</v>
          </cell>
        </row>
        <row r="137">
          <cell r="B137" t="str">
            <v>G-INTC-IMP00-FR</v>
          </cell>
          <cell r="C137" t="str">
            <v>VAR_fout</v>
          </cell>
          <cell r="D137" t="str">
            <v>ELC</v>
          </cell>
          <cell r="E137">
            <v>28.948626186349951</v>
          </cell>
          <cell r="F137">
            <v>24.184550015692537</v>
          </cell>
          <cell r="G137">
            <v>28.638715036503271</v>
          </cell>
          <cell r="H137">
            <v>14.464087166058361</v>
          </cell>
          <cell r="I137">
            <v>10.862150140282486</v>
          </cell>
          <cell r="J137">
            <v>7.9720164005611052</v>
          </cell>
        </row>
        <row r="138">
          <cell r="B138" t="str">
            <v>G-INTC-IMP00-FR</v>
          </cell>
          <cell r="C138" t="str">
            <v>VAR_fin</v>
          </cell>
          <cell r="D138" t="str">
            <v>ELC_I-FR</v>
          </cell>
          <cell r="E138">
            <v>28.948626186349951</v>
          </cell>
          <cell r="F138">
            <v>24.184550015692537</v>
          </cell>
          <cell r="G138">
            <v>28.638715036503271</v>
          </cell>
          <cell r="H138">
            <v>14.464087166058361</v>
          </cell>
          <cell r="I138">
            <v>10.862150140282486</v>
          </cell>
          <cell r="J138">
            <v>7.9720164005611052</v>
          </cell>
        </row>
        <row r="139">
          <cell r="B139" t="str">
            <v>G-INTC-IMP00-FR</v>
          </cell>
          <cell r="C139" t="str">
            <v>VAR_ncap</v>
          </cell>
          <cell r="D139" t="str">
            <v>-</v>
          </cell>
          <cell r="E139">
            <v>1.3450469895543E-5</v>
          </cell>
          <cell r="F139">
            <v>1.1116906367719699E-5</v>
          </cell>
          <cell r="G139">
            <v>1.19863019031624E-5</v>
          </cell>
          <cell r="H139">
            <v>1.2173962307263201E-5</v>
          </cell>
          <cell r="I139">
            <v>1.1628334774635699E-5</v>
          </cell>
          <cell r="J139">
            <v>1.5347103223560701E-5</v>
          </cell>
        </row>
        <row r="140">
          <cell r="B140" t="str">
            <v>G-INTC-IMP00-FR</v>
          </cell>
          <cell r="C140" t="str">
            <v>VAR_cap</v>
          </cell>
          <cell r="D140" t="str">
            <v>-</v>
          </cell>
          <cell r="E140">
            <v>1.6999639840752798</v>
          </cell>
          <cell r="F140">
            <v>1.6999321357155739</v>
          </cell>
          <cell r="G140">
            <v>1.6999195298414074</v>
          </cell>
          <cell r="H140">
            <v>1.6999085969187016</v>
          </cell>
          <cell r="I140">
            <v>1.1999979100764357</v>
          </cell>
          <cell r="J140">
            <v>1.1999967277064347</v>
          </cell>
        </row>
        <row r="141">
          <cell r="B141" t="str">
            <v>ITOT-CHPWSTCCS</v>
          </cell>
          <cell r="C141" t="str">
            <v>VAR_fout</v>
          </cell>
          <cell r="D141" t="str">
            <v>CO2_O</v>
          </cell>
          <cell r="I141">
            <v>14.311502907803435</v>
          </cell>
          <cell r="J141">
            <v>714.47052455254516</v>
          </cell>
        </row>
        <row r="142">
          <cell r="B142" t="str">
            <v>ITOT-CHPWSTCCS</v>
          </cell>
          <cell r="C142" t="str">
            <v>VAR_fout</v>
          </cell>
          <cell r="D142" t="str">
            <v>CO2</v>
          </cell>
          <cell r="I142">
            <v>-14.3115029078034</v>
          </cell>
          <cell r="J142">
            <v>-714.47052455254595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ITOT_LTH_CHP</v>
          </cell>
          <cell r="I143">
            <v>5.7023463937578324E-2</v>
          </cell>
          <cell r="J143">
            <v>2.0093677911322319</v>
          </cell>
        </row>
        <row r="144">
          <cell r="B144" t="str">
            <v>ITOT-CHPWSTCCS</v>
          </cell>
          <cell r="C144" t="str">
            <v>VAR_fout</v>
          </cell>
          <cell r="D144" t="str">
            <v>ITOT_KEV_WST_ELC_CHP</v>
          </cell>
          <cell r="I144">
            <v>1.1258247901738173E-2</v>
          </cell>
          <cell r="J144">
            <v>0.5923411876871979</v>
          </cell>
        </row>
        <row r="145">
          <cell r="B145" t="str">
            <v>ITOT-CHPWSTCCS</v>
          </cell>
          <cell r="C145" t="str">
            <v>VAR_fout</v>
          </cell>
          <cell r="D145" t="str">
            <v>CO2_I</v>
          </cell>
          <cell r="I145">
            <v>18.7316572663111</v>
          </cell>
          <cell r="J145">
            <v>985.54697048047797</v>
          </cell>
        </row>
        <row r="146">
          <cell r="B146" t="str">
            <v>ITOT-CHPWSTCCS</v>
          </cell>
          <cell r="C146" t="str">
            <v>VAR_fin</v>
          </cell>
          <cell r="D146" t="str">
            <v>IWST</v>
          </cell>
          <cell r="I146">
            <v>0.20184975502490418</v>
          </cell>
          <cell r="J146">
            <v>10.620118216384464</v>
          </cell>
        </row>
        <row r="147">
          <cell r="B147" t="str">
            <v>ITOT-CHPWSTCCS</v>
          </cell>
          <cell r="C147" t="str">
            <v>VAR_ncap</v>
          </cell>
          <cell r="D147" t="str">
            <v>-</v>
          </cell>
          <cell r="I147">
            <v>1.2427516510010101E-3</v>
          </cell>
          <cell r="J147">
            <v>5.8548358053549902E-2</v>
          </cell>
        </row>
        <row r="148">
          <cell r="B148" t="str">
            <v>ITOT-CHPWSTCCS</v>
          </cell>
          <cell r="C148" t="str">
            <v>VAR_cap</v>
          </cell>
          <cell r="D148" t="str">
            <v>-</v>
          </cell>
          <cell r="I148">
            <v>1.2427516510010101E-3</v>
          </cell>
          <cell r="J148">
            <v>5.9790690061943423E-2</v>
          </cell>
        </row>
        <row r="149">
          <cell r="B149" t="str">
            <v>RHEM-CHPGFC</v>
          </cell>
          <cell r="C149" t="str">
            <v>VAR_fout</v>
          </cell>
          <cell r="D149" t="str">
            <v>CO2_R</v>
          </cell>
          <cell r="H149">
            <v>1.77668640451218E-3</v>
          </cell>
          <cell r="I149">
            <v>7.1666378057241298</v>
          </cell>
          <cell r="J149">
            <v>6.7069432688236397</v>
          </cell>
        </row>
        <row r="150">
          <cell r="B150" t="str">
            <v>RHEM-CHPGFC</v>
          </cell>
          <cell r="C150" t="str">
            <v>VAR_fout</v>
          </cell>
          <cell r="D150" t="str">
            <v>RHEM_LTH_CHPNGA</v>
          </cell>
          <cell r="H150">
            <v>1.4818320650399436E-5</v>
          </cell>
          <cell r="I150">
            <v>5.9264536748044938E-2</v>
          </cell>
          <cell r="J150">
            <v>5.3512845229975854E-2</v>
          </cell>
        </row>
        <row r="151">
          <cell r="B151" t="str">
            <v>RHEM-CHPGFC</v>
          </cell>
          <cell r="C151" t="str">
            <v>VAR_fout</v>
          </cell>
          <cell r="D151" t="str">
            <v>RHEM_NKEV_GAS_ELC_CHP</v>
          </cell>
          <cell r="H151">
            <v>1.3230643437856636E-5</v>
          </cell>
          <cell r="I151">
            <v>5.590994032834426E-2</v>
          </cell>
          <cell r="J151">
            <v>5.3512845229975854E-2</v>
          </cell>
        </row>
        <row r="152">
          <cell r="B152" t="str">
            <v>RHEM-CHPGFC</v>
          </cell>
          <cell r="C152" t="str">
            <v>VAR_fin</v>
          </cell>
          <cell r="D152" t="str">
            <v>RNGA</v>
          </cell>
          <cell r="H152">
            <v>3.1501531994896753E-5</v>
          </cell>
          <cell r="I152">
            <v>0.12706804620078244</v>
          </cell>
          <cell r="J152">
            <v>0.11891743384439074</v>
          </cell>
        </row>
        <row r="153">
          <cell r="B153" t="str">
            <v>RHEM-CHPGFC</v>
          </cell>
          <cell r="C153" t="str">
            <v>VAR_ncap</v>
          </cell>
          <cell r="D153" t="str">
            <v>-</v>
          </cell>
          <cell r="H153">
            <v>6.8272923398887694E-5</v>
          </cell>
          <cell r="I153">
            <v>4.26594621970019E-3</v>
          </cell>
          <cell r="J153">
            <v>2.7314724795351099E-6</v>
          </cell>
        </row>
        <row r="154">
          <cell r="B154" t="str">
            <v>RHEM-CHPGFC</v>
          </cell>
          <cell r="C154" t="str">
            <v>VAR_cap</v>
          </cell>
          <cell r="D154" t="str">
            <v>-</v>
          </cell>
          <cell r="H154">
            <v>6.8272923398887694E-5</v>
          </cell>
          <cell r="I154">
            <v>4.9727084126861953E-3</v>
          </cell>
          <cell r="J154">
            <v>4.7637712649543952E-3</v>
          </cell>
        </row>
        <row r="155">
          <cell r="B155" t="str">
            <v>EHYD-RUNS10</v>
          </cell>
          <cell r="C155" t="str">
            <v>VAR_fout</v>
          </cell>
          <cell r="D155" t="str">
            <v>ELC35</v>
          </cell>
          <cell r="F155">
            <v>2.6036560651513871E-2</v>
          </cell>
          <cell r="G155">
            <v>2.5729715768553763E-2</v>
          </cell>
          <cell r="H155">
            <v>2.6123693934830425E-2</v>
          </cell>
          <cell r="I155">
            <v>2.9941200756411639E-2</v>
          </cell>
          <cell r="J155">
            <v>3.0624322849169341E-2</v>
          </cell>
        </row>
        <row r="156">
          <cell r="B156" t="str">
            <v>EHYD-RUNS10</v>
          </cell>
          <cell r="C156" t="str">
            <v>VAR_fin</v>
          </cell>
          <cell r="D156" t="str">
            <v>HYDR</v>
          </cell>
          <cell r="F156">
            <v>2.6036560651513871E-2</v>
          </cell>
          <cell r="G156">
            <v>2.5729715768553763E-2</v>
          </cell>
          <cell r="H156">
            <v>2.6123693934830425E-2</v>
          </cell>
          <cell r="I156">
            <v>2.9941200756411639E-2</v>
          </cell>
          <cell r="J156">
            <v>3.0624322849169341E-2</v>
          </cell>
        </row>
        <row r="157">
          <cell r="B157" t="str">
            <v>EHYD-RUNS10</v>
          </cell>
          <cell r="C157" t="str">
            <v>VAR_ncap</v>
          </cell>
          <cell r="D157" t="str">
            <v>-</v>
          </cell>
          <cell r="F157">
            <v>2.3347567387616598E-3</v>
          </cell>
          <cell r="G157">
            <v>4.6448204607123404E-6</v>
          </cell>
          <cell r="H157">
            <v>1.0911524010575699E-6</v>
          </cell>
          <cell r="I157">
            <v>1.7150650386344701E-4</v>
          </cell>
          <cell r="J157">
            <v>2.5826573977354001E-6</v>
          </cell>
        </row>
        <row r="158">
          <cell r="B158" t="str">
            <v>EHYD-RUNS10</v>
          </cell>
          <cell r="C158" t="str">
            <v>VAR_cap</v>
          </cell>
          <cell r="D158" t="str">
            <v>-</v>
          </cell>
          <cell r="F158">
            <v>2.3347567387616598E-3</v>
          </cell>
          <cell r="G158">
            <v>2.3394015592223699E-3</v>
          </cell>
          <cell r="H158">
            <v>2.3404927116234299E-3</v>
          </cell>
          <cell r="I158">
            <v>2.51302071822698E-3</v>
          </cell>
          <cell r="J158">
            <v>2.5156033756247101E-3</v>
          </cell>
        </row>
        <row r="159">
          <cell r="B159" t="str">
            <v>SUP_WSTBIO</v>
          </cell>
          <cell r="C159" t="str">
            <v>VAR_fout</v>
          </cell>
          <cell r="D159" t="str">
            <v>ELC35</v>
          </cell>
          <cell r="E159">
            <v>0.11258829254868478</v>
          </cell>
          <cell r="F159">
            <v>0.112743362046816</v>
          </cell>
          <cell r="G159">
            <v>0.10855958347959835</v>
          </cell>
          <cell r="H159">
            <v>0.13842301723050202</v>
          </cell>
          <cell r="I159">
            <v>0.15315534368501188</v>
          </cell>
          <cell r="J159">
            <v>0.19655117435154276</v>
          </cell>
        </row>
        <row r="160">
          <cell r="B160" t="str">
            <v>SUP_WSTBIO</v>
          </cell>
          <cell r="C160" t="str">
            <v>VAR_fout</v>
          </cell>
          <cell r="D160" t="str">
            <v>BIO</v>
          </cell>
          <cell r="E160">
            <v>5.629414627434242</v>
          </cell>
          <cell r="F160">
            <v>5.6371681023407954</v>
          </cell>
          <cell r="G160">
            <v>5.4279791739799181</v>
          </cell>
          <cell r="H160">
            <v>6.9211508615250983</v>
          </cell>
          <cell r="I160">
            <v>7.6577671842505968</v>
          </cell>
          <cell r="J160">
            <v>9.8275587175771317</v>
          </cell>
        </row>
        <row r="161">
          <cell r="B161" t="str">
            <v>SUP_WSTBIO</v>
          </cell>
          <cell r="C161" t="str">
            <v>VAR_fin</v>
          </cell>
          <cell r="D161" t="str">
            <v>CWST</v>
          </cell>
          <cell r="E161">
            <v>9.6793763508283579</v>
          </cell>
          <cell r="F161">
            <v>9.6927078971105445</v>
          </cell>
          <cell r="G161">
            <v>9.3330224768603163</v>
          </cell>
          <cell r="H161">
            <v>11.900424538473718</v>
          </cell>
          <cell r="I161">
            <v>13.16698368994858</v>
          </cell>
          <cell r="J161">
            <v>16.897785246394047</v>
          </cell>
        </row>
        <row r="162">
          <cell r="B162" t="str">
            <v>SUP_WSTBIO</v>
          </cell>
          <cell r="C162" t="str">
            <v>VAR_ncap</v>
          </cell>
          <cell r="D162" t="str">
            <v>-</v>
          </cell>
          <cell r="E162">
            <v>4.1272892090903198E-3</v>
          </cell>
          <cell r="F162">
            <v>2.8521477095477598E-4</v>
          </cell>
          <cell r="G162">
            <v>3.1511986802057199E-5</v>
          </cell>
          <cell r="H162">
            <v>0.122092763999884</v>
          </cell>
          <cell r="I162">
            <v>2.02174845211457E-2</v>
          </cell>
          <cell r="J162">
            <v>0.20354424376364899</v>
          </cell>
        </row>
        <row r="163">
          <cell r="B163" t="str">
            <v>SUP_WSTBIO</v>
          </cell>
          <cell r="C163" t="str">
            <v>VAR_cap</v>
          </cell>
          <cell r="D163" t="str">
            <v>-</v>
          </cell>
          <cell r="E163">
            <v>0.21269334239545948</v>
          </cell>
          <cell r="F163">
            <v>0.2129675125143638</v>
          </cell>
          <cell r="G163">
            <v>0.21295577630500695</v>
          </cell>
          <cell r="H163">
            <v>0.26147168084889555</v>
          </cell>
          <cell r="I163">
            <v>0.28929374452061579</v>
          </cell>
          <cell r="J163">
            <v>0.37132591549420196</v>
          </cell>
        </row>
        <row r="164">
          <cell r="B164" t="str">
            <v>ITOT-CHPNGACCS</v>
          </cell>
          <cell r="C164" t="str">
            <v>VAR_fout</v>
          </cell>
          <cell r="D164" t="str">
            <v>CO2_O</v>
          </cell>
          <cell r="I164">
            <v>0.93737907938219578</v>
          </cell>
          <cell r="J164">
            <v>3.3610267268496909</v>
          </cell>
        </row>
        <row r="165">
          <cell r="B165" t="str">
            <v>ITOT-CHPNGACCS</v>
          </cell>
          <cell r="C165" t="str">
            <v>VAR_fout</v>
          </cell>
          <cell r="D165" t="str">
            <v>CO2</v>
          </cell>
          <cell r="I165">
            <v>-0.937379079382195</v>
          </cell>
          <cell r="J165">
            <v>-3.3610267268496901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ITOT_NKEV_GAS_ELC_CHP</v>
          </cell>
          <cell r="I166">
            <v>6.0504984803536315E-3</v>
          </cell>
          <cell r="J166">
            <v>2.1694411098479922E-2</v>
          </cell>
        </row>
        <row r="167">
          <cell r="B167" t="str">
            <v>ITOT-CHPNGACCS</v>
          </cell>
          <cell r="C167" t="str">
            <v>VAR_fout</v>
          </cell>
          <cell r="D167" t="str">
            <v>ITOT_LTH_CHP</v>
          </cell>
          <cell r="I167">
            <v>6.8528435693836643E-3</v>
          </cell>
          <cell r="J167">
            <v>2.3978033319372628E-2</v>
          </cell>
        </row>
        <row r="168">
          <cell r="B168" t="str">
            <v>ITOT-CHPNGACCS</v>
          </cell>
          <cell r="C168" t="str">
            <v>VAR_fout</v>
          </cell>
          <cell r="D168" t="str">
            <v>CO2_I</v>
          </cell>
          <cell r="I168">
            <v>1.20764473325807</v>
          </cell>
          <cell r="J168">
            <v>3.8551463718282499</v>
          </cell>
        </row>
        <row r="169">
          <cell r="B169" t="str">
            <v>ITOT-CHPNGACCS</v>
          </cell>
          <cell r="C169" t="str">
            <v>VAR_fin</v>
          </cell>
          <cell r="D169" t="str">
            <v>INGA</v>
          </cell>
          <cell r="I169">
            <v>2.1412140660604088E-2</v>
          </cell>
          <cell r="J169">
            <v>6.8353659074968987E-2</v>
          </cell>
        </row>
        <row r="170">
          <cell r="B170" t="str">
            <v>ITOT-CHPNGACCS</v>
          </cell>
          <cell r="C170" t="str">
            <v>VAR_ncap</v>
          </cell>
          <cell r="D170" t="str">
            <v>-</v>
          </cell>
          <cell r="I170">
            <v>1.4362331495537499E-3</v>
          </cell>
          <cell r="J170">
            <v>9.0396948400266197E-4</v>
          </cell>
        </row>
        <row r="171">
          <cell r="B171" t="str">
            <v>ITOT-CHPNGACCS</v>
          </cell>
          <cell r="C171" t="str">
            <v>VAR_cap</v>
          </cell>
          <cell r="D171" t="str">
            <v>-</v>
          </cell>
          <cell r="I171">
            <v>1.4362331495537499E-3</v>
          </cell>
          <cell r="J171">
            <v>2.3389902386381106E-3</v>
          </cell>
        </row>
        <row r="172">
          <cell r="B172" t="str">
            <v>SCOM-ESOLPV</v>
          </cell>
          <cell r="C172" t="str">
            <v>VAR_fout</v>
          </cell>
          <cell r="D172" t="str">
            <v>SCOM_SOL_ELC</v>
          </cell>
          <cell r="E172">
            <v>2.8396236857719668</v>
          </cell>
          <cell r="F172">
            <v>3.2944551948993634</v>
          </cell>
          <cell r="G172">
            <v>9.9648527147553452</v>
          </cell>
          <cell r="H172">
            <v>10.735813466716973</v>
          </cell>
          <cell r="I172">
            <v>11.860184687220714</v>
          </cell>
          <cell r="J172">
            <v>13.101679566789995</v>
          </cell>
        </row>
        <row r="173">
          <cell r="B173" t="str">
            <v>SCOM-ESOLPV</v>
          </cell>
          <cell r="C173" t="str">
            <v>VAR_fin</v>
          </cell>
          <cell r="D173" t="str">
            <v>SOL</v>
          </cell>
          <cell r="E173">
            <v>2.8396236857719668</v>
          </cell>
          <cell r="F173">
            <v>3.2944551948993634</v>
          </cell>
          <cell r="G173">
            <v>9.9648527147553452</v>
          </cell>
          <cell r="H173">
            <v>10.735813466716973</v>
          </cell>
          <cell r="I173">
            <v>11.860184687220714</v>
          </cell>
          <cell r="J173">
            <v>13.101679566789995</v>
          </cell>
        </row>
        <row r="174">
          <cell r="B174" t="str">
            <v>SCOM-ESOLPV</v>
          </cell>
          <cell r="C174" t="str">
            <v>VAR_fin</v>
          </cell>
          <cell r="D174" t="str">
            <v>SOLPVC</v>
          </cell>
          <cell r="E174">
            <v>2.8396236857719699</v>
          </cell>
          <cell r="F174">
            <v>3.2944551948993701</v>
          </cell>
          <cell r="G174">
            <v>9.9648527147553505</v>
          </cell>
          <cell r="H174">
            <v>10.735813466717</v>
          </cell>
          <cell r="I174">
            <v>11.8601846872207</v>
          </cell>
          <cell r="J174">
            <v>13.101679566790001</v>
          </cell>
        </row>
        <row r="175">
          <cell r="B175" t="str">
            <v>SCOM-ESOLPV</v>
          </cell>
          <cell r="C175" t="str">
            <v>VAR_ncap</v>
          </cell>
          <cell r="D175" t="str">
            <v>-</v>
          </cell>
          <cell r="F175">
            <v>5.3581978194379003E-8</v>
          </cell>
          <cell r="G175">
            <v>2.0041572078918999</v>
          </cell>
          <cell r="H175">
            <v>6.9431223645546201E-6</v>
          </cell>
          <cell r="I175">
            <v>0.57366828640294298</v>
          </cell>
          <cell r="J175">
            <v>2.7053374626878699</v>
          </cell>
        </row>
        <row r="176">
          <cell r="B176" t="str">
            <v>SCOM-ESOLPV</v>
          </cell>
          <cell r="C176" t="str">
            <v>VAR_cap</v>
          </cell>
          <cell r="D176" t="str">
            <v>-</v>
          </cell>
          <cell r="E176">
            <v>0.90292899999999998</v>
          </cell>
          <cell r="F176">
            <v>1.1231013151499882</v>
          </cell>
          <cell r="G176">
            <v>3.1793862614738702</v>
          </cell>
          <cell r="H176">
            <v>3.0948233828369198</v>
          </cell>
          <cell r="I176">
            <v>3.4189474640159792</v>
          </cell>
          <cell r="J176">
            <v>3.7768336409340599</v>
          </cell>
        </row>
        <row r="177">
          <cell r="B177" t="str">
            <v>D-SCOM_LTH</v>
          </cell>
          <cell r="C177" t="str">
            <v>VAR_fout</v>
          </cell>
          <cell r="D177" t="str">
            <v>SCOM_LTH_DH</v>
          </cell>
          <cell r="E177">
            <v>5.6100231344643738</v>
          </cell>
          <cell r="F177">
            <v>6.076717774663452</v>
          </cell>
          <cell r="G177">
            <v>6.7756275836740061</v>
          </cell>
          <cell r="H177">
            <v>6.9260516407518438</v>
          </cell>
          <cell r="I177">
            <v>7.9556138527879359</v>
          </cell>
          <cell r="J177">
            <v>8.3589159155738049</v>
          </cell>
        </row>
        <row r="178">
          <cell r="B178" t="str">
            <v>D-SCOM_LTH</v>
          </cell>
          <cell r="C178" t="str">
            <v>VAR_fin</v>
          </cell>
          <cell r="D178" t="str">
            <v>LTH</v>
          </cell>
          <cell r="E178">
            <v>6.0988008837731869</v>
          </cell>
          <cell r="F178">
            <v>6.6044204896612264</v>
          </cell>
          <cell r="G178">
            <v>7.3611218012894462</v>
          </cell>
          <cell r="H178">
            <v>7.5196056115897072</v>
          </cell>
          <cell r="I178">
            <v>8.6260767359919193</v>
          </cell>
          <cell r="J178">
            <v>9.0515011063810711</v>
          </cell>
        </row>
        <row r="179">
          <cell r="B179" t="str">
            <v>D-SCOM_LTH</v>
          </cell>
          <cell r="C179" t="str">
            <v>VAR_ncap</v>
          </cell>
          <cell r="D179" t="str">
            <v>-</v>
          </cell>
          <cell r="E179">
            <v>0.84970193306453901</v>
          </cell>
          <cell r="F179">
            <v>1.24097350035752E-6</v>
          </cell>
          <cell r="G179">
            <v>1.4399024842469E-6</v>
          </cell>
          <cell r="H179">
            <v>1.0268789916022099E-6</v>
          </cell>
          <cell r="I179">
            <v>1.2592473469219699E-6</v>
          </cell>
          <cell r="J179">
            <v>2.66059524747818E-6</v>
          </cell>
        </row>
        <row r="180">
          <cell r="B180" t="str">
            <v>D-SCOM_LTH</v>
          </cell>
          <cell r="C180" t="str">
            <v>VAR_cap</v>
          </cell>
          <cell r="D180" t="str">
            <v>-</v>
          </cell>
          <cell r="E180">
            <v>0.84970193306453901</v>
          </cell>
          <cell r="F180">
            <v>0.84970317403803897</v>
          </cell>
          <cell r="G180">
            <v>0.84970461394052299</v>
          </cell>
          <cell r="H180">
            <v>0.84970564081951505</v>
          </cell>
          <cell r="I180">
            <v>0.84970959328386098</v>
          </cell>
          <cell r="J180">
            <v>0.84971225387910798</v>
          </cell>
        </row>
        <row r="181">
          <cell r="B181" t="str">
            <v>EHYD-RUNS15</v>
          </cell>
          <cell r="C181" t="str">
            <v>VAR_fout</v>
          </cell>
          <cell r="D181" t="str">
            <v>ELC35</v>
          </cell>
          <cell r="F181">
            <v>7.1194901920207165E-2</v>
          </cell>
          <cell r="G181">
            <v>7.1065331901431647E-2</v>
          </cell>
          <cell r="H181">
            <v>2.4784623961128149</v>
          </cell>
          <cell r="I181">
            <v>2.4660458496155013</v>
          </cell>
          <cell r="J181">
            <v>5.442275595722692</v>
          </cell>
        </row>
        <row r="182">
          <cell r="B182" t="str">
            <v>EHYD-RUNS15</v>
          </cell>
          <cell r="C182" t="str">
            <v>VAR_fin</v>
          </cell>
          <cell r="D182" t="str">
            <v>HYDR</v>
          </cell>
          <cell r="F182">
            <v>7.1194901920207165E-2</v>
          </cell>
          <cell r="G182">
            <v>7.1065331901431647E-2</v>
          </cell>
          <cell r="H182">
            <v>2.4784623961128149</v>
          </cell>
          <cell r="I182">
            <v>2.4660458496155013</v>
          </cell>
          <cell r="J182">
            <v>5.442275595722692</v>
          </cell>
        </row>
        <row r="183">
          <cell r="B183" t="str">
            <v>EHYD-RUNS15</v>
          </cell>
          <cell r="C183" t="str">
            <v>VAR_ncap</v>
          </cell>
          <cell r="D183" t="str">
            <v>-</v>
          </cell>
          <cell r="F183">
            <v>4.80076026796871E-3</v>
          </cell>
          <cell r="G183">
            <v>7.3475853667643801E-5</v>
          </cell>
          <cell r="H183">
            <v>0.141168225553886</v>
          </cell>
          <cell r="I183">
            <v>1.71878916154432E-4</v>
          </cell>
          <cell r="J183">
            <v>0.19858876767815001</v>
          </cell>
        </row>
        <row r="184">
          <cell r="B184" t="str">
            <v>EHYD-RUNS15</v>
          </cell>
          <cell r="C184" t="str">
            <v>VAR_cap</v>
          </cell>
          <cell r="D184" t="str">
            <v>-</v>
          </cell>
          <cell r="F184">
            <v>4.80076026796871E-3</v>
          </cell>
          <cell r="G184">
            <v>4.87423612163635E-3</v>
          </cell>
          <cell r="H184">
            <v>0.14604246167552201</v>
          </cell>
          <cell r="I184">
            <v>0.14643599580765601</v>
          </cell>
          <cell r="J184">
            <v>0.34502476348580602</v>
          </cell>
        </row>
        <row r="185">
          <cell r="B185" t="str">
            <v>EHYD-RUN10</v>
          </cell>
          <cell r="C185" t="str">
            <v>VAR_fout</v>
          </cell>
          <cell r="D185" t="str">
            <v>ELC13</v>
          </cell>
          <cell r="F185">
            <v>3.1078492929627659E-2</v>
          </cell>
          <cell r="G185">
            <v>2.985854953210099E-2</v>
          </cell>
          <cell r="H185">
            <v>3.0033600950120611E-2</v>
          </cell>
          <cell r="I185">
            <v>3.5342841472991479E-2</v>
          </cell>
          <cell r="J185">
            <v>3.3697779931865637E-2</v>
          </cell>
        </row>
        <row r="186">
          <cell r="B186" t="str">
            <v>EHYD-RUN10</v>
          </cell>
          <cell r="C186" t="str">
            <v>VAR_fin</v>
          </cell>
          <cell r="D186" t="str">
            <v>HYDR</v>
          </cell>
          <cell r="F186">
            <v>3.1078492929627659E-2</v>
          </cell>
          <cell r="G186">
            <v>2.985854953210099E-2</v>
          </cell>
          <cell r="H186">
            <v>3.0033600950120611E-2</v>
          </cell>
          <cell r="I186">
            <v>3.5342841472991479E-2</v>
          </cell>
          <cell r="J186">
            <v>3.3697779931865637E-2</v>
          </cell>
        </row>
        <row r="187">
          <cell r="B187" t="str">
            <v>EHYD-RUN10</v>
          </cell>
          <cell r="C187" t="str">
            <v>VAR_ncap</v>
          </cell>
          <cell r="D187" t="str">
            <v>-</v>
          </cell>
          <cell r="F187">
            <v>2.70357947204177E-3</v>
          </cell>
          <cell r="G187">
            <v>7.3266511973750395E-7</v>
          </cell>
          <cell r="H187">
            <v>2.1122919748540499E-8</v>
          </cell>
          <cell r="I187">
            <v>1.34827197190096E-4</v>
          </cell>
          <cell r="J187">
            <v>3.8654080591329499E-7</v>
          </cell>
        </row>
        <row r="188">
          <cell r="B188" t="str">
            <v>EHYD-RUN10</v>
          </cell>
          <cell r="C188" t="str">
            <v>VAR_cap</v>
          </cell>
          <cell r="D188" t="str">
            <v>-</v>
          </cell>
          <cell r="F188">
            <v>2.70357947204177E-3</v>
          </cell>
          <cell r="G188">
            <v>2.70431213716151E-3</v>
          </cell>
          <cell r="H188">
            <v>2.7043332600812601E-3</v>
          </cell>
          <cell r="I188">
            <v>2.83917274249141E-3</v>
          </cell>
          <cell r="J188">
            <v>2.8395592832973198E-3</v>
          </cell>
        </row>
        <row r="189">
          <cell r="B189" t="str">
            <v>ITOT-CHPWOD</v>
          </cell>
          <cell r="C189" t="str">
            <v>VAR_fout</v>
          </cell>
          <cell r="D189" t="str">
            <v>ITOT_LTH_CHP</v>
          </cell>
          <cell r="E189">
            <v>0.65982954085029144</v>
          </cell>
          <cell r="F189">
            <v>1.8166299084145672</v>
          </cell>
          <cell r="G189">
            <v>3.3832932164389846</v>
          </cell>
          <cell r="H189">
            <v>4.6533205742098618</v>
          </cell>
          <cell r="I189">
            <v>2.494650368185737</v>
          </cell>
          <cell r="J189">
            <v>0.65547992551454271</v>
          </cell>
        </row>
        <row r="190">
          <cell r="B190" t="str">
            <v>ITOT-CHPWOD</v>
          </cell>
          <cell r="C190" t="str">
            <v>VAR_fout</v>
          </cell>
          <cell r="D190" t="str">
            <v>ITOT_KEV_WOD_ELC_CHP</v>
          </cell>
          <cell r="E190">
            <v>0.17253024359739391</v>
          </cell>
          <cell r="F190">
            <v>0.52162743834035197</v>
          </cell>
          <cell r="G190">
            <v>1.1391918507745915</v>
          </cell>
          <cell r="H190">
            <v>2.1997515441719355</v>
          </cell>
          <cell r="I190">
            <v>1.1792892649605267</v>
          </cell>
          <cell r="J190">
            <v>0.30986323751596478</v>
          </cell>
        </row>
        <row r="191">
          <cell r="B191" t="str">
            <v>ITOT-CHPWOD</v>
          </cell>
          <cell r="C191" t="str">
            <v>VAR_fin</v>
          </cell>
          <cell r="D191" t="str">
            <v>IWOD</v>
          </cell>
          <cell r="E191">
            <v>0.87383263822153245</v>
          </cell>
          <cell r="F191">
            <v>2.3100680629058052</v>
          </cell>
          <cell r="G191">
            <v>4.4994753719102532</v>
          </cell>
          <cell r="H191">
            <v>6.4982760283044971</v>
          </cell>
          <cell r="I191">
            <v>3.3699524169497215</v>
          </cell>
          <cell r="J191">
            <v>0.84441030309836451</v>
          </cell>
        </row>
        <row r="192">
          <cell r="B192" t="str">
            <v>ITOT-CHPWOD</v>
          </cell>
          <cell r="C192" t="str">
            <v>VAR_ncap</v>
          </cell>
          <cell r="D192" t="str">
            <v>-</v>
          </cell>
          <cell r="F192">
            <v>1.7663093315885201E-2</v>
          </cell>
          <cell r="G192">
            <v>2.2802866378369702E-2</v>
          </cell>
          <cell r="H192">
            <v>4.0728746092955098E-2</v>
          </cell>
          <cell r="I192">
            <v>3.6831977005223902E-5</v>
          </cell>
          <cell r="J192">
            <v>1.21991123664561E-4</v>
          </cell>
        </row>
        <row r="193">
          <cell r="B193" t="str">
            <v>ITOT-CHPWOD</v>
          </cell>
          <cell r="C193" t="str">
            <v>VAR_cap</v>
          </cell>
          <cell r="D193" t="str">
            <v>-</v>
          </cell>
          <cell r="E193">
            <v>1.2740378497817541E-2</v>
          </cell>
          <cell r="F193">
            <v>1.9340884257740745E-2</v>
          </cell>
          <cell r="G193">
            <v>4.2141731642984376E-2</v>
          </cell>
          <cell r="H193">
            <v>8.2865733696238605E-2</v>
          </cell>
          <cell r="I193">
            <v>8.6322431742809222E-2</v>
          </cell>
          <cell r="J193">
            <v>2.3180314126974039E-2</v>
          </cell>
        </row>
        <row r="194">
          <cell r="B194" t="str">
            <v>EHYD-RUN15</v>
          </cell>
          <cell r="C194" t="str">
            <v>VAR_fout</v>
          </cell>
          <cell r="D194" t="str">
            <v>ELC13</v>
          </cell>
          <cell r="F194">
            <v>2.2871298575647011E-2</v>
          </cell>
          <cell r="G194">
            <v>2.3891882764351901E-2</v>
          </cell>
          <cell r="H194">
            <v>2.6471747408878182E-2</v>
          </cell>
          <cell r="I194">
            <v>2.7879618312114766E-2</v>
          </cell>
          <cell r="J194">
            <v>2.8688290966108743E-2</v>
          </cell>
        </row>
        <row r="195">
          <cell r="B195" t="str">
            <v>EHYD-RUN15</v>
          </cell>
          <cell r="C195" t="str">
            <v>VAR_fin</v>
          </cell>
          <cell r="D195" t="str">
            <v>HYDR</v>
          </cell>
          <cell r="F195">
            <v>2.2871298575647011E-2</v>
          </cell>
          <cell r="G195">
            <v>2.3891882764351901E-2</v>
          </cell>
          <cell r="H195">
            <v>2.6471747408878182E-2</v>
          </cell>
          <cell r="I195">
            <v>2.7879618312114766E-2</v>
          </cell>
          <cell r="J195">
            <v>2.8688290966108743E-2</v>
          </cell>
        </row>
        <row r="196">
          <cell r="B196" t="str">
            <v>EHYD-RUN15</v>
          </cell>
          <cell r="C196" t="str">
            <v>VAR_ncap</v>
          </cell>
          <cell r="D196" t="str">
            <v>-</v>
          </cell>
          <cell r="F196">
            <v>2.0066337709373498E-3</v>
          </cell>
          <cell r="G196">
            <v>1.25150759611349E-6</v>
          </cell>
          <cell r="H196">
            <v>1.39546902645642E-6</v>
          </cell>
          <cell r="I196">
            <v>8.1152937999028695E-6</v>
          </cell>
          <cell r="J196">
            <v>1.9757626782312701E-5</v>
          </cell>
        </row>
        <row r="197">
          <cell r="B197" t="str">
            <v>EHYD-RUN15</v>
          </cell>
          <cell r="C197" t="str">
            <v>VAR_cap</v>
          </cell>
          <cell r="D197" t="str">
            <v>-</v>
          </cell>
          <cell r="F197">
            <v>2.0066337709373498E-3</v>
          </cell>
          <cell r="G197">
            <v>2.0078852785334598E-3</v>
          </cell>
          <cell r="H197">
            <v>2.0092807475599198E-3</v>
          </cell>
          <cell r="I197">
            <v>2.0229481410616399E-3</v>
          </cell>
          <cell r="J197">
            <v>2.04270576784395E-3</v>
          </cell>
        </row>
        <row r="198">
          <cell r="B198" t="str">
            <v>SCOM-SWHSTG-CHPWOD</v>
          </cell>
          <cell r="C198" t="str">
            <v>VAR_fout</v>
          </cell>
          <cell r="D198" t="str">
            <v>AUX_SCOM-CHPWOD_OUT</v>
          </cell>
          <cell r="E198">
            <v>2.1808758641328656E-4</v>
          </cell>
          <cell r="F198">
            <v>1.6585332183635733E-4</v>
          </cell>
          <cell r="G198">
            <v>1.6940732158945992E-4</v>
          </cell>
          <cell r="H198">
            <v>6.4914742100835327E-3</v>
          </cell>
          <cell r="I198">
            <v>0.43639006995145896</v>
          </cell>
          <cell r="J198">
            <v>0.54938672839793568</v>
          </cell>
        </row>
        <row r="199">
          <cell r="B199" t="str">
            <v>SCOM-SWHSTG-CHPWOD</v>
          </cell>
          <cell r="C199" t="str">
            <v>VAR_fout</v>
          </cell>
          <cell r="D199" t="str">
            <v>SCOM_LTH_CHPWOD</v>
          </cell>
          <cell r="E199">
            <v>2.1808758641328702E-4</v>
          </cell>
          <cell r="F199">
            <v>1.6598888521563639E-4</v>
          </cell>
          <cell r="G199">
            <v>1.6962367832201356E-4</v>
          </cell>
          <cell r="H199">
            <v>6.4914742100835214E-3</v>
          </cell>
          <cell r="I199">
            <v>0.43639006995145874</v>
          </cell>
          <cell r="J199">
            <v>0.54938672839793556</v>
          </cell>
        </row>
        <row r="200">
          <cell r="B200" t="str">
            <v>SCOM-SWHSTG-CHPWOD</v>
          </cell>
          <cell r="C200" t="str">
            <v>VAR_fin</v>
          </cell>
          <cell r="D200" t="str">
            <v>AUX_SCOM-CHPWOD_IN</v>
          </cell>
          <cell r="E200">
            <v>2.1808758641328702E-4</v>
          </cell>
          <cell r="F200">
            <v>1.6598888521563639E-4</v>
          </cell>
          <cell r="G200">
            <v>1.6962367832201356E-4</v>
          </cell>
          <cell r="H200">
            <v>7.4495996037073492E-3</v>
          </cell>
          <cell r="I200">
            <v>0.4692357365746237</v>
          </cell>
          <cell r="J200">
            <v>0.55493623805553349</v>
          </cell>
        </row>
        <row r="201">
          <cell r="B201" t="str">
            <v>SCOM-SWHSTG-CHPWOD</v>
          </cell>
          <cell r="C201" t="str">
            <v>VAR_fin</v>
          </cell>
          <cell r="D201" t="str">
            <v>SCOM_LTH_CHPWOD</v>
          </cell>
          <cell r="E201">
            <v>2.1808758641328702E-4</v>
          </cell>
          <cell r="F201">
            <v>1.6598888521563639E-4</v>
          </cell>
          <cell r="G201">
            <v>1.6962367832201356E-4</v>
          </cell>
          <cell r="H201">
            <v>7.4495996037073492E-3</v>
          </cell>
          <cell r="I201">
            <v>0.4692357365746237</v>
          </cell>
          <cell r="J201">
            <v>0.55493623805553349</v>
          </cell>
        </row>
        <row r="202">
          <cell r="B202" t="str">
            <v>SCOM-SWHSTG-CHPWOD</v>
          </cell>
          <cell r="C202" t="str">
            <v>VAR_ncap</v>
          </cell>
          <cell r="D202" t="str">
            <v>-</v>
          </cell>
          <cell r="E202">
            <v>1.3593282305792299E-2</v>
          </cell>
          <cell r="F202">
            <v>4.5142191455476203E-4</v>
          </cell>
          <cell r="G202">
            <v>6.7857555879261499E-4</v>
          </cell>
          <cell r="H202">
            <v>5.6268063106416401E-4</v>
          </cell>
          <cell r="I202">
            <v>5.2494204040237401E-3</v>
          </cell>
          <cell r="J202">
            <v>2.0988571587245399E-2</v>
          </cell>
        </row>
        <row r="203">
          <cell r="B203" t="str">
            <v>SCOM-SWHSTG-CHPWOD</v>
          </cell>
          <cell r="C203" t="str">
            <v>VAR_cap</v>
          </cell>
          <cell r="D203" t="str">
            <v>-</v>
          </cell>
          <cell r="E203">
            <v>1.3593282305792299E-2</v>
          </cell>
          <cell r="F203">
            <v>1.400244989807412E-2</v>
          </cell>
          <cell r="G203">
            <v>1.4567134150664521E-2</v>
          </cell>
          <cell r="H203">
            <v>1.4882727808656362E-2</v>
          </cell>
          <cell r="I203">
            <v>2.80545461527172E-2</v>
          </cell>
          <cell r="J203">
            <v>3.4219041739293576E-2</v>
          </cell>
        </row>
        <row r="204">
          <cell r="B204" t="str">
            <v>RHNM-ESOLPV</v>
          </cell>
          <cell r="C204" t="str">
            <v>VAR_fout</v>
          </cell>
          <cell r="D204" t="str">
            <v>RHNM_SOL_ELC</v>
          </cell>
          <cell r="F204">
            <v>3.1785219021379539E-5</v>
          </cell>
          <cell r="G204">
            <v>1.7587702063715522</v>
          </cell>
          <cell r="H204">
            <v>1.9466359490914484</v>
          </cell>
          <cell r="I204">
            <v>2.1505414128248574</v>
          </cell>
          <cell r="J204">
            <v>2.3757842725193981</v>
          </cell>
        </row>
        <row r="205">
          <cell r="B205" t="str">
            <v>RHNM-ESOLPV</v>
          </cell>
          <cell r="C205" t="str">
            <v>VAR_fin</v>
          </cell>
          <cell r="D205" t="str">
            <v>SOL</v>
          </cell>
          <cell r="F205">
            <v>3.1785219021379539E-5</v>
          </cell>
          <cell r="G205">
            <v>1.7587702063715522</v>
          </cell>
          <cell r="H205">
            <v>1.9466359490914484</v>
          </cell>
          <cell r="I205">
            <v>2.1505414128248574</v>
          </cell>
          <cell r="J205">
            <v>2.3757842725193981</v>
          </cell>
        </row>
        <row r="206">
          <cell r="B206" t="str">
            <v>RHNM-ESOLPV</v>
          </cell>
          <cell r="C206" t="str">
            <v>VAR_fin</v>
          </cell>
          <cell r="D206" t="str">
            <v>SOLPVC</v>
          </cell>
          <cell r="F206">
            <v>3.1785219021379498E-5</v>
          </cell>
          <cell r="G206">
            <v>1.75877020637155</v>
          </cell>
          <cell r="H206">
            <v>1.94663594909145</v>
          </cell>
          <cell r="I206">
            <v>2.1505414128248601</v>
          </cell>
          <cell r="J206">
            <v>2.3757842725193998</v>
          </cell>
        </row>
        <row r="207">
          <cell r="B207" t="str">
            <v>RHNM-ESOLPV</v>
          </cell>
          <cell r="C207" t="str">
            <v>VAR_ncap</v>
          </cell>
          <cell r="D207" t="str">
            <v>-</v>
          </cell>
          <cell r="F207">
            <v>1.0877081097149699E-5</v>
          </cell>
          <cell r="G207">
            <v>0.56114301642018904</v>
          </cell>
          <cell r="H207">
            <v>5.98459223343541E-6</v>
          </cell>
          <cell r="I207">
            <v>3.01350378794689E-2</v>
          </cell>
          <cell r="J207">
            <v>0.63190345771933898</v>
          </cell>
        </row>
        <row r="208">
          <cell r="B208" t="str">
            <v>RHNM-ESOLPV</v>
          </cell>
          <cell r="C208" t="str">
            <v>VAR_cap</v>
          </cell>
          <cell r="D208" t="str">
            <v>-</v>
          </cell>
          <cell r="F208">
            <v>1.0877081097149699E-5</v>
          </cell>
          <cell r="G208">
            <v>0.56115389350128597</v>
          </cell>
          <cell r="H208">
            <v>0.56115987809351997</v>
          </cell>
          <cell r="I208">
            <v>0.61994018233509296</v>
          </cell>
          <cell r="J208">
            <v>0.68487050031174601</v>
          </cell>
        </row>
        <row r="209">
          <cell r="B209" t="str">
            <v>CHPNGA</v>
          </cell>
          <cell r="C209" t="str">
            <v>VAR_fout</v>
          </cell>
          <cell r="D209" t="str">
            <v>ELC35</v>
          </cell>
          <cell r="E209">
            <v>0.96588833998255996</v>
          </cell>
          <cell r="F209">
            <v>4.3824211558758593E-4</v>
          </cell>
          <cell r="G209">
            <v>1.0007293758609995E-2</v>
          </cell>
          <cell r="H209">
            <v>1.018394490923606E-4</v>
          </cell>
          <cell r="I209">
            <v>3.3356260647469638E-3</v>
          </cell>
          <cell r="J209">
            <v>2.545837522150751E-3</v>
          </cell>
        </row>
        <row r="210">
          <cell r="B210" t="str">
            <v>CHPNGA</v>
          </cell>
          <cell r="C210" t="str">
            <v>VAR_fout</v>
          </cell>
          <cell r="D210" t="str">
            <v>LTH</v>
          </cell>
          <cell r="E210">
            <v>1.8035653931592552</v>
          </cell>
          <cell r="F210">
            <v>8.4210631321716316E-4</v>
          </cell>
          <cell r="G210">
            <v>2.0044572145070924E-2</v>
          </cell>
          <cell r="H210">
            <v>2.1780726801066621E-4</v>
          </cell>
          <cell r="I210">
            <v>7.0572997492610165E-3</v>
          </cell>
          <cell r="J210">
            <v>5.3290154968414312E-3</v>
          </cell>
        </row>
        <row r="211">
          <cell r="B211" t="str">
            <v>CHPNGA</v>
          </cell>
          <cell r="C211" t="str">
            <v>VAR_fout</v>
          </cell>
          <cell r="D211" t="str">
            <v>CO2_E</v>
          </cell>
          <cell r="E211">
            <v>217.525174774867</v>
          </cell>
          <cell r="F211">
            <v>0.23311471683059701</v>
          </cell>
          <cell r="G211">
            <v>2.7659991140890101</v>
          </cell>
          <cell r="H211">
            <v>3.3513914671343702E-2</v>
          </cell>
          <cell r="I211">
            <v>0.88500671840503597</v>
          </cell>
          <cell r="J211">
            <v>0.659295165545012</v>
          </cell>
        </row>
        <row r="212">
          <cell r="B212" t="str">
            <v>CHPNGA</v>
          </cell>
          <cell r="C212" t="str">
            <v>VAR_fin</v>
          </cell>
          <cell r="D212" t="str">
            <v>ENGA</v>
          </cell>
          <cell r="E212">
            <v>3.8568293399799147</v>
          </cell>
          <cell r="F212">
            <v>4.1332396601169701E-3</v>
          </cell>
          <cell r="G212">
            <v>4.9042537483847681E-2</v>
          </cell>
          <cell r="H212">
            <v>5.9421834523659157E-4</v>
          </cell>
          <cell r="I212">
            <v>1.5691608482358788E-2</v>
          </cell>
          <cell r="J212">
            <v>1.1689630594769716E-2</v>
          </cell>
        </row>
        <row r="213">
          <cell r="B213" t="str">
            <v>CHPNGA</v>
          </cell>
          <cell r="C213" t="str">
            <v>VAR_ncap</v>
          </cell>
          <cell r="D213" t="str">
            <v>-</v>
          </cell>
          <cell r="F213">
            <v>6.34295928541103E-6</v>
          </cell>
          <cell r="G213">
            <v>2.0245663838146999E-3</v>
          </cell>
          <cell r="H213">
            <v>5.9896981331590003E-6</v>
          </cell>
          <cell r="I213">
            <v>1.5939912645433199E-4</v>
          </cell>
          <cell r="J213">
            <v>5.2049520404299002E-5</v>
          </cell>
        </row>
        <row r="214">
          <cell r="B214" t="str">
            <v>CHPNGA</v>
          </cell>
          <cell r="C214" t="str">
            <v>VAR_cap</v>
          </cell>
          <cell r="D214" t="str">
            <v>-</v>
          </cell>
          <cell r="E214">
            <v>0.10167103234796462</v>
          </cell>
          <cell r="F214">
            <v>1.4898207010689835E-4</v>
          </cell>
          <cell r="G214">
            <v>2.1695441426320128E-3</v>
          </cell>
          <cell r="H214">
            <v>3.3945725022771489E-5</v>
          </cell>
          <cell r="I214">
            <v>1.10867749769723E-3</v>
          </cell>
          <cell r="J214">
            <v>8.6563650446493644E-4</v>
          </cell>
        </row>
        <row r="215">
          <cell r="B215" t="str">
            <v>EHYD-PUM00</v>
          </cell>
          <cell r="C215" t="str">
            <v>VAR_fout</v>
          </cell>
          <cell r="D215" t="str">
            <v>ELC</v>
          </cell>
          <cell r="E215">
            <v>12.841936125799627</v>
          </cell>
          <cell r="F215">
            <v>16.033160123066569</v>
          </cell>
          <cell r="G215">
            <v>45.525039805096036</v>
          </cell>
          <cell r="H215">
            <v>12.504280422009213</v>
          </cell>
          <cell r="I215">
            <v>12.860671080641206</v>
          </cell>
          <cell r="J215">
            <v>13.186923620969878</v>
          </cell>
        </row>
        <row r="216">
          <cell r="B216" t="str">
            <v>EHYD-PUM00</v>
          </cell>
          <cell r="C216" t="str">
            <v>VAR_fout</v>
          </cell>
          <cell r="D216" t="str">
            <v>AUX_PUMP_OUT</v>
          </cell>
          <cell r="E216">
            <v>12.841936125799627</v>
          </cell>
          <cell r="F216">
            <v>16.033160123066569</v>
          </cell>
          <cell r="G216">
            <v>45.525039805096029</v>
          </cell>
          <cell r="H216">
            <v>12.504280422009213</v>
          </cell>
          <cell r="I216">
            <v>12.860671080641206</v>
          </cell>
          <cell r="J216">
            <v>13.186923620969878</v>
          </cell>
        </row>
        <row r="217">
          <cell r="B217" t="str">
            <v>EHYD-PUM00</v>
          </cell>
          <cell r="C217" t="str">
            <v>VAR_fin</v>
          </cell>
          <cell r="D217" t="str">
            <v>AUX_PUMP_IN</v>
          </cell>
          <cell r="E217">
            <v>16.052420507828163</v>
          </cell>
          <cell r="F217">
            <v>20.041449400208116</v>
          </cell>
          <cell r="G217">
            <v>56.906302985996462</v>
          </cell>
          <cell r="H217">
            <v>15.630348073514956</v>
          </cell>
          <cell r="I217">
            <v>16.075830139474391</v>
          </cell>
          <cell r="J217">
            <v>16.483648110511165</v>
          </cell>
        </row>
        <row r="218">
          <cell r="B218" t="str">
            <v>EHYD-PUM00</v>
          </cell>
          <cell r="C218" t="str">
            <v>VAR_fin</v>
          </cell>
          <cell r="D218" t="str">
            <v>ELC</v>
          </cell>
          <cell r="E218">
            <v>16.052420507828163</v>
          </cell>
          <cell r="F218">
            <v>20.041449400208116</v>
          </cell>
          <cell r="G218">
            <v>56.906302985996462</v>
          </cell>
          <cell r="H218">
            <v>15.630348073514956</v>
          </cell>
          <cell r="I218">
            <v>16.075830139474391</v>
          </cell>
          <cell r="J218">
            <v>16.483648110511165</v>
          </cell>
        </row>
        <row r="219">
          <cell r="B219" t="str">
            <v>EHYD-PUM00</v>
          </cell>
          <cell r="C219" t="str">
            <v>VAR_cap</v>
          </cell>
          <cell r="D219" t="str">
            <v>-</v>
          </cell>
          <cell r="E219">
            <v>3.3394499999999998</v>
          </cell>
          <cell r="F219">
            <v>3.97102894612105</v>
          </cell>
          <cell r="G219">
            <v>4.3594499999999998</v>
          </cell>
          <cell r="H219">
            <v>4.3594499999999998</v>
          </cell>
          <cell r="I219">
            <v>4.3594499999999998</v>
          </cell>
          <cell r="J219">
            <v>4.3594499999999998</v>
          </cell>
        </row>
        <row r="220">
          <cell r="B220" t="str">
            <v>RHNS-SHSTG-CHPNGA</v>
          </cell>
          <cell r="C220" t="str">
            <v>VAR_fout</v>
          </cell>
          <cell r="D220" t="str">
            <v>RHNS_LTH_CHPNGA</v>
          </cell>
          <cell r="E220">
            <v>5.6766757922644534E-4</v>
          </cell>
          <cell r="F220">
            <v>1.2005150802143858E-3</v>
          </cell>
          <cell r="G220">
            <v>8.7048809670903903E-3</v>
          </cell>
          <cell r="H220">
            <v>3.7221825395386445E-4</v>
          </cell>
          <cell r="I220">
            <v>4.4566009063050589E-2</v>
          </cell>
          <cell r="J220">
            <v>1.3489341981811684E-2</v>
          </cell>
        </row>
        <row r="221">
          <cell r="B221" t="str">
            <v>RHNS-SHSTG-CHPNGA</v>
          </cell>
          <cell r="C221" t="str">
            <v>VAR_fout</v>
          </cell>
          <cell r="D221" t="str">
            <v>AUX_RNS-CHPNGA_OUT</v>
          </cell>
          <cell r="E221">
            <v>5.6766757922644664E-4</v>
          </cell>
          <cell r="F221">
            <v>1.1997152700343645E-3</v>
          </cell>
          <cell r="G221">
            <v>8.6958228183213228E-3</v>
          </cell>
          <cell r="H221">
            <v>3.7221825395386445E-4</v>
          </cell>
          <cell r="I221">
            <v>4.4566009063050756E-2</v>
          </cell>
          <cell r="J221">
            <v>1.3489341981811698E-2</v>
          </cell>
        </row>
        <row r="222">
          <cell r="B222" t="str">
            <v>RHNS-SHSTG-CHPNGA</v>
          </cell>
          <cell r="C222" t="str">
            <v>VAR_fin</v>
          </cell>
          <cell r="D222" t="str">
            <v>RHNS_LTH_CHPNGA</v>
          </cell>
          <cell r="E222">
            <v>4.4277218282785243E-4</v>
          </cell>
          <cell r="F222">
            <v>1.5868703844045327E-3</v>
          </cell>
          <cell r="G222">
            <v>1.124051834658377E-2</v>
          </cell>
          <cell r="H222">
            <v>4.7377457632667713E-4</v>
          </cell>
          <cell r="I222">
            <v>5.2439276954367127E-2</v>
          </cell>
          <cell r="J222">
            <v>1.4996571630496834E-2</v>
          </cell>
        </row>
        <row r="223">
          <cell r="B223" t="str">
            <v>RHNS-SHSTG-CHPNGA</v>
          </cell>
          <cell r="C223" t="str">
            <v>VAR_fin</v>
          </cell>
          <cell r="D223" t="str">
            <v>AUX_RNS-CHPNGA_IN</v>
          </cell>
          <cell r="E223">
            <v>4.4277218282785243E-4</v>
          </cell>
          <cell r="F223">
            <v>1.5868703844045327E-3</v>
          </cell>
          <cell r="G223">
            <v>1.124051834658377E-2</v>
          </cell>
          <cell r="H223">
            <v>4.7377457632667713E-4</v>
          </cell>
          <cell r="I223">
            <v>5.2439276954367127E-2</v>
          </cell>
          <cell r="J223">
            <v>1.4996571630496834E-2</v>
          </cell>
        </row>
        <row r="224">
          <cell r="B224" t="str">
            <v>RHNS-SHSTG-CHPNGA</v>
          </cell>
          <cell r="C224" t="str">
            <v>VAR_ncap</v>
          </cell>
          <cell r="D224" t="str">
            <v>-</v>
          </cell>
          <cell r="E224">
            <v>2.1082199944602101E-2</v>
          </cell>
          <cell r="F224">
            <v>6.9820241184198498E-4</v>
          </cell>
          <cell r="G224">
            <v>4.9719939727725301E-4</v>
          </cell>
          <cell r="H224">
            <v>2.4147415468950999E-4</v>
          </cell>
          <cell r="I224">
            <v>1.93959906081558E-3</v>
          </cell>
          <cell r="J224">
            <v>2.7868835562643102E-3</v>
          </cell>
        </row>
        <row r="225">
          <cell r="B225" t="str">
            <v>RHNS-SHSTG-CHPNGA</v>
          </cell>
          <cell r="C225" t="str">
            <v>VAR_cap</v>
          </cell>
          <cell r="D225" t="str">
            <v>-</v>
          </cell>
          <cell r="E225">
            <v>2.1082199944602101E-2</v>
          </cell>
          <cell r="F225">
            <v>2.1745425973123476E-2</v>
          </cell>
          <cell r="G225">
            <v>2.2127458678976773E-2</v>
          </cell>
          <cell r="H225">
            <v>2.2047750070886125E-2</v>
          </cell>
          <cell r="I225">
            <v>2.0811512060458268E-2</v>
          </cell>
          <cell r="J225">
            <v>1.2026285623932232E-2</v>
          </cell>
        </row>
        <row r="226">
          <cell r="B226" t="str">
            <v>ITOT-CHPGFC</v>
          </cell>
          <cell r="C226" t="str">
            <v>VAR_fout</v>
          </cell>
          <cell r="D226" t="str">
            <v>ITOT_NKEV_GAS_ELC_CHP</v>
          </cell>
          <cell r="E226"/>
          <cell r="F226"/>
          <cell r="G226"/>
          <cell r="H226"/>
          <cell r="I226">
            <v>0.27184434820213316</v>
          </cell>
          <cell r="J226">
            <v>8.2602635480700071E-2</v>
          </cell>
        </row>
        <row r="227">
          <cell r="B227" t="str">
            <v>ITOT-CHPGFC</v>
          </cell>
          <cell r="C227" t="str">
            <v>VAR_fout</v>
          </cell>
          <cell r="D227" t="str">
            <v>ITOT_LTH_CHP</v>
          </cell>
          <cell r="E227"/>
          <cell r="F227"/>
          <cell r="G227"/>
          <cell r="H227"/>
          <cell r="I227">
            <v>0.12220525744866539</v>
          </cell>
          <cell r="J227">
            <v>3.3330888000984271E-2</v>
          </cell>
        </row>
        <row r="228">
          <cell r="B228" t="str">
            <v>ITOT-CHPGFC</v>
          </cell>
          <cell r="C228" t="str">
            <v>VAR_fout</v>
          </cell>
          <cell r="D228" t="str">
            <v>CO2_I</v>
          </cell>
          <cell r="E228"/>
          <cell r="F228"/>
          <cell r="G228"/>
          <cell r="H228"/>
          <cell r="I228">
            <v>28.132149061652001</v>
          </cell>
          <cell r="J228">
            <v>8.1733134054587406</v>
          </cell>
        </row>
        <row r="229">
          <cell r="B229" t="str">
            <v>ITOT-CHPGFC</v>
          </cell>
          <cell r="C229" t="str">
            <v>VAR_fin</v>
          </cell>
          <cell r="D229" t="str">
            <v>INGA</v>
          </cell>
          <cell r="E229"/>
          <cell r="F229"/>
          <cell r="G229"/>
          <cell r="H229"/>
          <cell r="I229">
            <v>0.49879696917822641</v>
          </cell>
          <cell r="J229">
            <v>0.14491690435210533</v>
          </cell>
        </row>
        <row r="230">
          <cell r="B230" t="str">
            <v>ITOT-CHPGFC</v>
          </cell>
          <cell r="C230" t="str">
            <v>VAR_ncap</v>
          </cell>
          <cell r="D230" t="str">
            <v>-</v>
          </cell>
          <cell r="E230"/>
          <cell r="F230"/>
          <cell r="G230"/>
          <cell r="H230"/>
          <cell r="I230">
            <v>1.1222628136362E-2</v>
          </cell>
          <cell r="J230">
            <v>1.7721005199571499E-4</v>
          </cell>
        </row>
        <row r="231">
          <cell r="B231" t="str">
            <v>ITOT-CHPGFC</v>
          </cell>
          <cell r="C231" t="str">
            <v>VAR_cap</v>
          </cell>
          <cell r="D231" t="str">
            <v>-</v>
          </cell>
          <cell r="E231"/>
          <cell r="F231"/>
          <cell r="G231"/>
          <cell r="H231"/>
          <cell r="I231">
            <v>1.1666634267946792E-2</v>
          </cell>
          <cell r="J231">
            <v>8.5078263425126931E-3</v>
          </cell>
        </row>
        <row r="232">
          <cell r="B232" t="str">
            <v>ITOT-SWSTG-CHP</v>
          </cell>
          <cell r="C232" t="str">
            <v>VAR_fout</v>
          </cell>
          <cell r="D232" t="str">
            <v>ITOT_LTH_CHP</v>
          </cell>
          <cell r="E232">
            <v>1.0365790283554501E-3</v>
          </cell>
          <cell r="F232">
            <v>7.3724383590544713E-4</v>
          </cell>
          <cell r="G232">
            <v>0.30966349344895472</v>
          </cell>
          <cell r="H232">
            <v>6.8419068550282312E-4</v>
          </cell>
          <cell r="I232">
            <v>0.34646082504272263</v>
          </cell>
          <cell r="J232">
            <v>0.29488049647164172</v>
          </cell>
        </row>
        <row r="233">
          <cell r="B233" t="str">
            <v>ITOT-SWSTG-CHP</v>
          </cell>
          <cell r="C233" t="str">
            <v>VAR_fout</v>
          </cell>
          <cell r="D233" t="str">
            <v>AUX_ITOT-CHP_OUT</v>
          </cell>
          <cell r="E233">
            <v>1.0365790283554483E-3</v>
          </cell>
          <cell r="F233">
            <v>7.3664172772442001E-4</v>
          </cell>
          <cell r="G233">
            <v>0.30926851450322917</v>
          </cell>
          <cell r="H233">
            <v>6.8419068550282442E-4</v>
          </cell>
          <cell r="I233">
            <v>0.34646082504272313</v>
          </cell>
          <cell r="J233">
            <v>0.29488049647164177</v>
          </cell>
        </row>
        <row r="234">
          <cell r="B234" t="str">
            <v>ITOT-SWSTG-CHP</v>
          </cell>
          <cell r="C234" t="str">
            <v>VAR_fin</v>
          </cell>
          <cell r="D234" t="str">
            <v>ITOT_LTH_CHP</v>
          </cell>
          <cell r="E234">
            <v>1.3133826874772438E-3</v>
          </cell>
          <cell r="F234">
            <v>8.988769186932074E-4</v>
          </cell>
          <cell r="G234">
            <v>0.36868031572126392</v>
          </cell>
          <cell r="H234">
            <v>8.0325382293543158E-4</v>
          </cell>
          <cell r="I234">
            <v>0.3725471329563001</v>
          </cell>
          <cell r="J234">
            <v>0.29786750121802785</v>
          </cell>
        </row>
        <row r="235">
          <cell r="B235" t="str">
            <v>ITOT-SWSTG-CHP</v>
          </cell>
          <cell r="C235" t="str">
            <v>VAR_fin</v>
          </cell>
          <cell r="D235" t="str">
            <v>AUX_ITOT-CHP_IN</v>
          </cell>
          <cell r="E235">
            <v>1.3133826874772438E-3</v>
          </cell>
          <cell r="F235">
            <v>8.988769186932074E-4</v>
          </cell>
          <cell r="G235">
            <v>0.36868031572126392</v>
          </cell>
          <cell r="H235">
            <v>8.0325382293543158E-4</v>
          </cell>
          <cell r="I235">
            <v>0.3725471329563001</v>
          </cell>
          <cell r="J235">
            <v>0.29786750121802785</v>
          </cell>
        </row>
        <row r="236">
          <cell r="B236" t="str">
            <v>ITOT-SWSTG-CHP</v>
          </cell>
          <cell r="C236" t="str">
            <v>VAR_ncap</v>
          </cell>
          <cell r="D236" t="str">
            <v>-</v>
          </cell>
          <cell r="E236">
            <v>2.4329819489823899E-2</v>
          </cell>
          <cell r="F236">
            <v>3.3189245560921201E-4</v>
          </cell>
          <cell r="G236">
            <v>6.5135600004575496E-3</v>
          </cell>
          <cell r="H236">
            <v>2.8315792864546101E-4</v>
          </cell>
          <cell r="I236">
            <v>5.6894197429069402E-4</v>
          </cell>
          <cell r="J236">
            <v>2.8528444383761701E-4</v>
          </cell>
        </row>
        <row r="237">
          <cell r="B237" t="str">
            <v>ITOT-SWSTG-CHP</v>
          </cell>
          <cell r="C237" t="str">
            <v>VAR_cap</v>
          </cell>
          <cell r="D237" t="str">
            <v>-</v>
          </cell>
          <cell r="E237">
            <v>2.4338396938567829E-2</v>
          </cell>
          <cell r="F237">
            <v>2.4599400728360137E-2</v>
          </cell>
          <cell r="G237">
            <v>3.096499163774533E-2</v>
          </cell>
          <cell r="H237">
            <v>3.0896940970030456E-2</v>
          </cell>
          <cell r="I237">
            <v>0.10030116929376653</v>
          </cell>
          <cell r="J237">
            <v>4.2548341579991725E-2</v>
          </cell>
        </row>
        <row r="238">
          <cell r="B238" t="str">
            <v>D-ELFO</v>
          </cell>
          <cell r="C238" t="str">
            <v>VAR_fout</v>
          </cell>
          <cell r="D238" t="str">
            <v>CO2</v>
          </cell>
          <cell r="E238">
            <v>35.841156330201599</v>
          </cell>
          <cell r="F238">
            <v>17.141244009339299</v>
          </cell>
          <cell r="G238">
            <v>9.1442494469875797</v>
          </cell>
          <cell r="H238">
            <v>5.8976109643898598</v>
          </cell>
          <cell r="I238">
            <v>1.2235552886366601</v>
          </cell>
          <cell r="J238">
            <v>1.7095980043334898E-2</v>
          </cell>
        </row>
        <row r="239">
          <cell r="B239" t="str">
            <v>D-ELFO</v>
          </cell>
          <cell r="C239" t="str">
            <v>VAR_fout</v>
          </cell>
          <cell r="D239" t="str">
            <v>ELFO</v>
          </cell>
          <cell r="E239">
            <v>0.47818951493036715</v>
          </cell>
          <cell r="F239">
            <v>0.22869695058420947</v>
          </cell>
          <cell r="G239">
            <v>0.12200176152722583</v>
          </cell>
          <cell r="H239">
            <v>7.8685400111747364E-2</v>
          </cell>
          <cell r="I239">
            <v>1.6324565663374598E-2</v>
          </cell>
          <cell r="J239">
            <v>2.2809304278201533E-4</v>
          </cell>
        </row>
        <row r="240">
          <cell r="B240" t="str">
            <v>D-ELFO</v>
          </cell>
          <cell r="C240" t="str">
            <v>VAR_fin</v>
          </cell>
          <cell r="D240" t="str">
            <v>LFO</v>
          </cell>
          <cell r="E240">
            <v>0.48631148344914005</v>
          </cell>
          <cell r="F240">
            <v>0.23258132984178168</v>
          </cell>
          <cell r="G240">
            <v>0.12407394093605942</v>
          </cell>
          <cell r="H240">
            <v>8.0021858404204324E-2</v>
          </cell>
          <cell r="I240">
            <v>1.6601835666711813E-2</v>
          </cell>
          <cell r="J240">
            <v>2.3196716476709539E-4</v>
          </cell>
        </row>
        <row r="241">
          <cell r="B241" t="str">
            <v>EHYD-DAM00</v>
          </cell>
          <cell r="C241" t="str">
            <v>VAR_fout</v>
          </cell>
          <cell r="D241" t="str">
            <v>ELC</v>
          </cell>
          <cell r="E241">
            <v>66.745680242457198</v>
          </cell>
          <cell r="F241">
            <v>49.200169433261195</v>
          </cell>
          <cell r="G241">
            <v>67.696325138765587</v>
          </cell>
          <cell r="H241">
            <v>67.41857678900594</v>
          </cell>
          <cell r="I241">
            <v>70.39776721516948</v>
          </cell>
          <cell r="J241">
            <v>67.504009852784534</v>
          </cell>
        </row>
        <row r="242">
          <cell r="B242" t="str">
            <v>EHYD-DAM00</v>
          </cell>
          <cell r="C242" t="str">
            <v>VAR_fin</v>
          </cell>
          <cell r="D242" t="str">
            <v>HYDD</v>
          </cell>
          <cell r="E242">
            <v>66.745680242457198</v>
          </cell>
          <cell r="F242">
            <v>49.200169433261195</v>
          </cell>
          <cell r="G242">
            <v>67.696325138765587</v>
          </cell>
          <cell r="H242">
            <v>67.41857678900594</v>
          </cell>
          <cell r="I242">
            <v>70.39776721516948</v>
          </cell>
          <cell r="J242">
            <v>67.504009852784534</v>
          </cell>
        </row>
        <row r="243">
          <cell r="B243" t="str">
            <v>EHYD-DAM00</v>
          </cell>
          <cell r="C243" t="str">
            <v>VAR_cap</v>
          </cell>
          <cell r="D243" t="str">
            <v>-</v>
          </cell>
          <cell r="E243">
            <v>7.3394300010600002</v>
          </cell>
          <cell r="F243">
            <v>7.3394300010600002</v>
          </cell>
          <cell r="G243">
            <v>7.3394300010600002</v>
          </cell>
          <cell r="H243">
            <v>7.3394300010600002</v>
          </cell>
          <cell r="I243">
            <v>7.3394300010600002</v>
          </cell>
          <cell r="J243">
            <v>7.3394300010600002</v>
          </cell>
        </row>
        <row r="244">
          <cell r="B244" t="str">
            <v>RHES-SHSTG-CHPWOD</v>
          </cell>
          <cell r="C244" t="str">
            <v>VAR_fout</v>
          </cell>
          <cell r="D244" t="str">
            <v>AUX_RES-CHPWOD_OUT</v>
          </cell>
          <cell r="E244">
            <v>5.040935663503999E-4</v>
          </cell>
          <cell r="F244">
            <v>5.9045948092854774E-4</v>
          </cell>
          <cell r="G244">
            <v>2.5875629709383924E-4</v>
          </cell>
          <cell r="H244">
            <v>4.2680574282088579E-4</v>
          </cell>
          <cell r="I244">
            <v>3.1933928408377672E-2</v>
          </cell>
          <cell r="J244">
            <v>1.0507185409957725E-2</v>
          </cell>
        </row>
        <row r="245">
          <cell r="B245" t="str">
            <v>RHES-SHSTG-CHPWOD</v>
          </cell>
          <cell r="C245" t="str">
            <v>VAR_fout</v>
          </cell>
          <cell r="D245" t="str">
            <v>RHES_LTH_CHPWOD</v>
          </cell>
          <cell r="E245">
            <v>5.040935663503986E-4</v>
          </cell>
          <cell r="F245">
            <v>5.9085312058249886E-4</v>
          </cell>
          <cell r="G245">
            <v>2.590258349033116E-4</v>
          </cell>
          <cell r="H245">
            <v>4.2680574282088579E-4</v>
          </cell>
          <cell r="I245">
            <v>3.1933928408377575E-2</v>
          </cell>
          <cell r="J245">
            <v>1.0507185409957714E-2</v>
          </cell>
        </row>
        <row r="246">
          <cell r="B246" t="str">
            <v>RHES-SHSTG-CHPWOD</v>
          </cell>
          <cell r="C246" t="str">
            <v>VAR_fin</v>
          </cell>
          <cell r="D246" t="str">
            <v>AUX_RES-CHPWOD_IN</v>
          </cell>
          <cell r="E246">
            <v>3.9353207358463067E-4</v>
          </cell>
          <cell r="F246">
            <v>4.438171838716391E-4</v>
          </cell>
          <cell r="G246">
            <v>2.0628018540066109E-4</v>
          </cell>
          <cell r="H246">
            <v>5.4197475685530713E-4</v>
          </cell>
          <cell r="I246">
            <v>3.7578003597500333E-2</v>
          </cell>
          <cell r="J246">
            <v>1.1683064328418704E-2</v>
          </cell>
        </row>
        <row r="247">
          <cell r="B247" t="str">
            <v>RHES-SHSTG-CHPWOD</v>
          </cell>
          <cell r="C247" t="str">
            <v>VAR_fin</v>
          </cell>
          <cell r="D247" t="str">
            <v>RHES_LTH_CHPWOD</v>
          </cell>
          <cell r="E247">
            <v>3.9353207358463067E-4</v>
          </cell>
          <cell r="F247">
            <v>4.438171838716391E-4</v>
          </cell>
          <cell r="G247">
            <v>2.0628018540066109E-4</v>
          </cell>
          <cell r="H247">
            <v>5.4197475685530713E-4</v>
          </cell>
          <cell r="I247">
            <v>3.7578003597500333E-2</v>
          </cell>
          <cell r="J247">
            <v>1.1683064328418704E-2</v>
          </cell>
        </row>
        <row r="248">
          <cell r="B248" t="str">
            <v>RHES-SHSTG-CHPWOD</v>
          </cell>
          <cell r="C248" t="str">
            <v>VAR_ncap</v>
          </cell>
          <cell r="D248" t="str">
            <v>-</v>
          </cell>
          <cell r="E248">
            <v>1.53311240106466E-2</v>
          </cell>
          <cell r="F248">
            <v>3.8225970016848599E-4</v>
          </cell>
          <cell r="G248">
            <v>5.9636349494704205E-4</v>
          </cell>
          <cell r="H248">
            <v>4.7991969737238199E-4</v>
          </cell>
          <cell r="I248">
            <v>1.2838802371044999E-3</v>
          </cell>
          <cell r="J248">
            <v>3.0220784742478698E-3</v>
          </cell>
        </row>
        <row r="249">
          <cell r="B249" t="str">
            <v>RHES-SHSTG-CHPWOD</v>
          </cell>
          <cell r="C249" t="str">
            <v>VAR_cap</v>
          </cell>
          <cell r="D249" t="str">
            <v>-</v>
          </cell>
          <cell r="E249">
            <v>1.53311240106466E-2</v>
          </cell>
          <cell r="F249">
            <v>1.5671598967541115E-2</v>
          </cell>
          <cell r="G249">
            <v>1.6155632665709872E-2</v>
          </cell>
          <cell r="H249">
            <v>1.645612322500959E-2</v>
          </cell>
          <cell r="I249">
            <v>2.0833036050311789E-2</v>
          </cell>
          <cell r="J249">
            <v>1.2016422070824661E-2</v>
          </cell>
        </row>
        <row r="250">
          <cell r="B250" t="str">
            <v>G-INTC-IND</v>
          </cell>
          <cell r="C250" t="str">
            <v>VAR_fout</v>
          </cell>
          <cell r="D250" t="str">
            <v>ELC35</v>
          </cell>
          <cell r="E250">
            <v>5.0068228931580624E-2</v>
          </cell>
          <cell r="F250">
            <v>1.9874600957952099E-2</v>
          </cell>
          <cell r="G250">
            <v>2.1962142528133277E-2</v>
          </cell>
          <cell r="H250">
            <v>2.0175629538827016E-3</v>
          </cell>
          <cell r="I250">
            <v>9.7211811822537839E-3</v>
          </cell>
          <cell r="J250">
            <v>8.1618972723687816E-3</v>
          </cell>
        </row>
        <row r="251">
          <cell r="B251" t="str">
            <v>G-INTC-IND</v>
          </cell>
          <cell r="C251" t="str">
            <v>VAR_fout</v>
          </cell>
          <cell r="D251" t="str">
            <v>ITOT_ELC</v>
          </cell>
          <cell r="E251">
            <v>55.907905397035094</v>
          </cell>
          <cell r="F251">
            <v>57.568863708110243</v>
          </cell>
          <cell r="G251">
            <v>55.944527235591359</v>
          </cell>
          <cell r="H251">
            <v>62.90825458675036</v>
          </cell>
          <cell r="I251">
            <v>32.722188687475459</v>
          </cell>
          <cell r="J251">
            <v>26.778788108159418</v>
          </cell>
        </row>
        <row r="252">
          <cell r="B252" t="str">
            <v>G-INTC-IND</v>
          </cell>
          <cell r="C252" t="str">
            <v>VAR_fout</v>
          </cell>
          <cell r="D252" t="str">
            <v>ELC13</v>
          </cell>
          <cell r="E252">
            <v>4.8549183434147811E-2</v>
          </cell>
          <cell r="F252">
            <v>1.3154376849684997E-2</v>
          </cell>
          <cell r="G252">
            <v>1.8931123543911337E-2</v>
          </cell>
          <cell r="H252">
            <v>8.7722047715142542E-4</v>
          </cell>
          <cell r="I252">
            <v>6.1230291114233336E-3</v>
          </cell>
          <cell r="J252">
            <v>6.2296078037532305E-3</v>
          </cell>
        </row>
        <row r="253">
          <cell r="B253" t="str">
            <v>G-INTC-IND</v>
          </cell>
          <cell r="C253" t="str">
            <v>VAR_fin</v>
          </cell>
          <cell r="D253" t="str">
            <v>ELC3</v>
          </cell>
          <cell r="E253">
            <v>25.836142551218959</v>
          </cell>
          <cell r="F253">
            <v>57.54398377778142</v>
          </cell>
          <cell r="G253">
            <v>55.867669633923484</v>
          </cell>
          <cell r="H253">
            <v>28.823219907942697</v>
          </cell>
          <cell r="I253">
            <v>14.869520277236814</v>
          </cell>
          <cell r="J253">
            <v>12.091026188453302</v>
          </cell>
        </row>
        <row r="254">
          <cell r="B254" t="str">
            <v>G-INTC-IND</v>
          </cell>
          <cell r="C254" t="str">
            <v>VAR_fin</v>
          </cell>
          <cell r="D254" t="str">
            <v>ELC5</v>
          </cell>
          <cell r="E254">
            <v>30.17033568478606</v>
          </cell>
          <cell r="F254">
            <v>5.7881726743753414E-2</v>
          </cell>
          <cell r="G254">
            <v>0.11771956586592486</v>
          </cell>
          <cell r="H254">
            <v>34.087890903225507</v>
          </cell>
          <cell r="I254">
            <v>17.8685126205323</v>
          </cell>
          <cell r="J254">
            <v>14.702086626106286</v>
          </cell>
        </row>
        <row r="255">
          <cell r="B255" t="str">
            <v>G-INTC-IND</v>
          </cell>
          <cell r="C255" t="str">
            <v>VAR_ncap</v>
          </cell>
          <cell r="D255" t="str">
            <v>-</v>
          </cell>
          <cell r="E255">
            <v>3.5305366428877702E-6</v>
          </cell>
          <cell r="F255">
            <v>3.4988668984590898E-6</v>
          </cell>
          <cell r="G255">
            <v>3.24786576621218E-6</v>
          </cell>
          <cell r="H255">
            <v>4.3607398288912003E-6</v>
          </cell>
          <cell r="I255">
            <v>4.45298312761675E-6</v>
          </cell>
          <cell r="J255">
            <v>9.1818322876389193E-6</v>
          </cell>
        </row>
        <row r="256">
          <cell r="B256" t="str">
            <v>G-INTC-IND</v>
          </cell>
          <cell r="C256" t="str">
            <v>VAR_cap</v>
          </cell>
          <cell r="D256" t="str">
            <v>-</v>
          </cell>
          <cell r="E256">
            <v>4.4927373631622096</v>
          </cell>
          <cell r="F256">
            <v>4.4927385110708853</v>
          </cell>
          <cell r="G256">
            <v>4.4927443925657506</v>
          </cell>
          <cell r="H256">
            <v>4.4927500396640907</v>
          </cell>
          <cell r="I256">
            <v>4.4927576243982479</v>
          </cell>
          <cell r="J256">
            <v>4.4927667275442476</v>
          </cell>
        </row>
        <row r="257">
          <cell r="B257" t="str">
            <v>D-IH2R</v>
          </cell>
          <cell r="C257" t="str">
            <v>VAR_fout</v>
          </cell>
          <cell r="D257" t="str">
            <v>IH2</v>
          </cell>
          <cell r="E257"/>
          <cell r="F257"/>
          <cell r="G257"/>
          <cell r="H257"/>
          <cell r="I257">
            <v>3.4333571425248572</v>
          </cell>
          <cell r="J257">
            <v>8.8052324959235815</v>
          </cell>
        </row>
        <row r="258">
          <cell r="B258" t="str">
            <v>D-IH2R</v>
          </cell>
          <cell r="C258" t="str">
            <v>VAR_fin</v>
          </cell>
          <cell r="D258" t="str">
            <v>H2</v>
          </cell>
          <cell r="E258"/>
          <cell r="F258"/>
          <cell r="G258"/>
          <cell r="H258"/>
          <cell r="I258">
            <v>3.4333571425248572</v>
          </cell>
          <cell r="J258">
            <v>8.8052324959235815</v>
          </cell>
        </row>
        <row r="259">
          <cell r="B259" t="str">
            <v>D-IH2R</v>
          </cell>
          <cell r="C259" t="str">
            <v>VAR_ncap</v>
          </cell>
          <cell r="D259" t="str">
            <v>-</v>
          </cell>
          <cell r="E259"/>
          <cell r="F259"/>
          <cell r="G259"/>
          <cell r="H259">
            <v>5.2987517504120304E-6</v>
          </cell>
          <cell r="I259">
            <v>0.12118468877643999</v>
          </cell>
          <cell r="J259">
            <v>0.26875663018248702</v>
          </cell>
        </row>
        <row r="260">
          <cell r="B260" t="str">
            <v>D-IH2R</v>
          </cell>
          <cell r="C260" t="str">
            <v>VAR_cap</v>
          </cell>
          <cell r="D260" t="str">
            <v>-</v>
          </cell>
          <cell r="E260"/>
          <cell r="F260"/>
          <cell r="G260"/>
          <cell r="H260">
            <v>5.2987517504120304E-6</v>
          </cell>
          <cell r="I260">
            <v>0.14296886539297901</v>
          </cell>
          <cell r="J260">
            <v>0.31026496086851801</v>
          </cell>
        </row>
        <row r="261">
          <cell r="B261" t="str">
            <v>ESOL-PV_E</v>
          </cell>
          <cell r="C261" t="str">
            <v>VAR_fout</v>
          </cell>
          <cell r="D261" t="str">
            <v>CELC_E</v>
          </cell>
          <cell r="E261"/>
          <cell r="F261"/>
          <cell r="G261"/>
          <cell r="H261">
            <v>2.4603535026446186E-6</v>
          </cell>
          <cell r="I261">
            <v>0.66333214033677634</v>
          </cell>
          <cell r="J261">
            <v>1.8670328875060218</v>
          </cell>
        </row>
        <row r="262">
          <cell r="B262" t="str">
            <v>ESOL-PV_E</v>
          </cell>
          <cell r="C262" t="str">
            <v>VAR_fin</v>
          </cell>
          <cell r="D262" t="str">
            <v>SOL</v>
          </cell>
          <cell r="E262"/>
          <cell r="F262"/>
          <cell r="G262"/>
          <cell r="H262">
            <v>2.4603535026446186E-6</v>
          </cell>
          <cell r="I262">
            <v>0.66333214033677634</v>
          </cell>
          <cell r="J262">
            <v>1.8670328875060218</v>
          </cell>
        </row>
        <row r="263">
          <cell r="B263" t="str">
            <v>ESOL-PV_E</v>
          </cell>
          <cell r="C263" t="str">
            <v>VAR_fin</v>
          </cell>
          <cell r="D263" t="str">
            <v>SOLPVC</v>
          </cell>
          <cell r="E263"/>
          <cell r="F263"/>
          <cell r="G263"/>
          <cell r="H263">
            <v>2.4603535026446199E-6</v>
          </cell>
          <cell r="I263">
            <v>0.66333214033677601</v>
          </cell>
          <cell r="J263">
            <v>1.86703288750602</v>
          </cell>
        </row>
        <row r="264">
          <cell r="B264" t="str">
            <v>ESOL-PV_E</v>
          </cell>
          <cell r="C264" t="str">
            <v>VAR_ncap</v>
          </cell>
          <cell r="D264" t="str">
            <v>-</v>
          </cell>
          <cell r="E264"/>
          <cell r="F264"/>
          <cell r="G264"/>
          <cell r="H264">
            <v>8.1059687154442704E-7</v>
          </cell>
          <cell r="I264">
            <v>0.19121263241356401</v>
          </cell>
          <cell r="J264">
            <v>0.34700782840064198</v>
          </cell>
        </row>
        <row r="265">
          <cell r="B265" t="str">
            <v>ESOL-PV_E</v>
          </cell>
          <cell r="C265" t="str">
            <v>VAR_cap</v>
          </cell>
          <cell r="D265" t="str">
            <v>-</v>
          </cell>
          <cell r="E265"/>
          <cell r="F265"/>
          <cell r="G265"/>
          <cell r="H265">
            <v>8.1059687154442704E-7</v>
          </cell>
          <cell r="I265">
            <v>0.19122097260660001</v>
          </cell>
          <cell r="J265">
            <v>0.53822880100724202</v>
          </cell>
        </row>
        <row r="266">
          <cell r="B266" t="str">
            <v>EWSTINC</v>
          </cell>
          <cell r="C266" t="str">
            <v>VAR_fout</v>
          </cell>
          <cell r="D266" t="str">
            <v>ELC35</v>
          </cell>
          <cell r="E266">
            <v>6.5070037091525705</v>
          </cell>
          <cell r="F266">
            <v>7.3027682524000266</v>
          </cell>
          <cell r="G266">
            <v>7.4118294905002715</v>
          </cell>
          <cell r="H266">
            <v>7.5002623967704816</v>
          </cell>
          <cell r="I266">
            <v>8.0736428081890619</v>
          </cell>
          <cell r="J266">
            <v>4.6534334425069401</v>
          </cell>
        </row>
        <row r="267">
          <cell r="B267" t="str">
            <v>EWSTINC</v>
          </cell>
          <cell r="C267" t="str">
            <v>VAR_fout</v>
          </cell>
          <cell r="D267" t="str">
            <v>CO2_E</v>
          </cell>
          <cell r="E267">
            <v>1689.2941593591399</v>
          </cell>
          <cell r="F267">
            <v>1895.88392866298</v>
          </cell>
          <cell r="G267">
            <v>1924.1974998195501</v>
          </cell>
          <cell r="H267">
            <v>1947.1557151110701</v>
          </cell>
          <cell r="I267">
            <v>2096.0119665279699</v>
          </cell>
          <cell r="J267">
            <v>1208.0856699584101</v>
          </cell>
        </row>
        <row r="268">
          <cell r="B268" t="str">
            <v>EWSTINC</v>
          </cell>
          <cell r="C268" t="str">
            <v>VAR_fin</v>
          </cell>
          <cell r="D268" t="str">
            <v>EWST</v>
          </cell>
          <cell r="E268">
            <v>18.203600855163153</v>
          </cell>
          <cell r="F268">
            <v>20.429783714040656</v>
          </cell>
          <cell r="G268">
            <v>20.734886851503806</v>
          </cell>
          <cell r="H268">
            <v>20.982281412834805</v>
          </cell>
          <cell r="I268">
            <v>22.586335846206609</v>
          </cell>
          <cell r="J268">
            <v>13.018164546965663</v>
          </cell>
        </row>
        <row r="269">
          <cell r="B269" t="str">
            <v>EWSTINC</v>
          </cell>
          <cell r="C269" t="str">
            <v>VAR_ncap</v>
          </cell>
          <cell r="D269" t="str">
            <v>-</v>
          </cell>
          <cell r="E269"/>
          <cell r="F269">
            <v>4.2503329132800402E-6</v>
          </cell>
          <cell r="G269">
            <v>2.8862802236073299E-3</v>
          </cell>
          <cell r="H269">
            <v>6.9538098090478298E-2</v>
          </cell>
          <cell r="I269">
            <v>2.2309573750268399E-2</v>
          </cell>
          <cell r="J269">
            <v>7.4715439148471795E-7</v>
          </cell>
        </row>
        <row r="270">
          <cell r="B270" t="str">
            <v>EWSTINC</v>
          </cell>
          <cell r="C270" t="str">
            <v>VAR_cap</v>
          </cell>
          <cell r="D270" t="str">
            <v>-</v>
          </cell>
          <cell r="E270">
            <v>0.27376924014356618</v>
          </cell>
          <cell r="F270">
            <v>0.27371253311438182</v>
          </cell>
          <cell r="G270">
            <v>0.27657656017212434</v>
          </cell>
          <cell r="H270">
            <v>0.27980813432444973</v>
          </cell>
          <cell r="I270">
            <v>0.30121707039180351</v>
          </cell>
          <cell r="J270">
            <v>0.19168736247084839</v>
          </cell>
        </row>
        <row r="271">
          <cell r="B271" t="str">
            <v>D-IBIO</v>
          </cell>
          <cell r="C271" t="str">
            <v>VAR_fout</v>
          </cell>
          <cell r="D271" t="str">
            <v>IBIO</v>
          </cell>
          <cell r="E271">
            <v>0.43674736441125178</v>
          </cell>
          <cell r="F271">
            <v>0.5520705877396842</v>
          </cell>
          <cell r="G271">
            <v>2.2236652505444683</v>
          </cell>
          <cell r="H271">
            <v>2.2243584945026331</v>
          </cell>
          <cell r="I271">
            <v>2.2250378243742728</v>
          </cell>
          <cell r="J271">
            <v>3.7774466188892841</v>
          </cell>
        </row>
        <row r="272">
          <cell r="B272" t="str">
            <v>D-IBIO</v>
          </cell>
          <cell r="C272" t="str">
            <v>VAR_fin</v>
          </cell>
          <cell r="D272" t="str">
            <v>BIO</v>
          </cell>
          <cell r="E272">
            <v>0.43674736441125178</v>
          </cell>
          <cell r="F272">
            <v>0.5520705877396842</v>
          </cell>
          <cell r="G272">
            <v>2.2236652505444683</v>
          </cell>
          <cell r="H272">
            <v>2.2243584945026331</v>
          </cell>
          <cell r="I272">
            <v>2.2250378243742728</v>
          </cell>
          <cell r="J272">
            <v>3.7774466188892841</v>
          </cell>
        </row>
        <row r="273">
          <cell r="B273" t="str">
            <v>D-EWOD</v>
          </cell>
          <cell r="C273" t="str">
            <v>VAR_fout</v>
          </cell>
          <cell r="D273" t="str">
            <v>EWOD</v>
          </cell>
          <cell r="E273">
            <v>3.8763738113029849</v>
          </cell>
          <cell r="F273">
            <v>2.2345542341919815</v>
          </cell>
          <cell r="G273">
            <v>3.1348570321949283</v>
          </cell>
          <cell r="H273">
            <v>1.2748213828217188</v>
          </cell>
          <cell r="I273">
            <v>4.3299225336427263</v>
          </cell>
          <cell r="J273">
            <v>7.2279018796968675</v>
          </cell>
        </row>
        <row r="274">
          <cell r="B274" t="str">
            <v>D-EWOD</v>
          </cell>
          <cell r="C274" t="str">
            <v>VAR_fin</v>
          </cell>
          <cell r="D274" t="str">
            <v>WOD</v>
          </cell>
          <cell r="E274">
            <v>3.8763738113029849</v>
          </cell>
          <cell r="F274">
            <v>2.2345542341919815</v>
          </cell>
          <cell r="G274">
            <v>3.1348570321949283</v>
          </cell>
          <cell r="H274">
            <v>1.2748213828217188</v>
          </cell>
          <cell r="I274">
            <v>4.3299225336427263</v>
          </cell>
          <cell r="J274">
            <v>7.2279018796968675</v>
          </cell>
        </row>
        <row r="275">
          <cell r="B275" t="str">
            <v>HPLWOD</v>
          </cell>
          <cell r="C275" t="str">
            <v>VAR_fout</v>
          </cell>
          <cell r="D275" t="str">
            <v>LTH</v>
          </cell>
          <cell r="E275">
            <v>1.4842951364783934</v>
          </cell>
          <cell r="F275">
            <v>1.3395696485577631</v>
          </cell>
          <cell r="G275">
            <v>1.1485149577645011</v>
          </cell>
          <cell r="H275">
            <v>0.88869691256860672</v>
          </cell>
          <cell r="I275">
            <v>0.53211019329176312</v>
          </cell>
          <cell r="J275">
            <v>0.3185981470440663</v>
          </cell>
        </row>
        <row r="276">
          <cell r="B276" t="str">
            <v>HPLWOD</v>
          </cell>
          <cell r="C276" t="str">
            <v>VAR_fin</v>
          </cell>
          <cell r="D276" t="str">
            <v>EWOD</v>
          </cell>
          <cell r="E276">
            <v>2.1204216235405631</v>
          </cell>
          <cell r="F276">
            <v>1.9136709265110896</v>
          </cell>
          <cell r="G276">
            <v>1.6407356539492877</v>
          </cell>
          <cell r="H276">
            <v>1.2695670179551524</v>
          </cell>
          <cell r="I276">
            <v>0.7601574189882333</v>
          </cell>
          <cell r="J276">
            <v>0.45514021006295219</v>
          </cell>
        </row>
        <row r="277">
          <cell r="B277" t="str">
            <v>HPLWOD</v>
          </cell>
          <cell r="C277" t="str">
            <v>VAR_ncap</v>
          </cell>
          <cell r="D277" t="str">
            <v>-</v>
          </cell>
          <cell r="E277">
            <v>0.18863826410238299</v>
          </cell>
          <cell r="F277">
            <v>2.0903617418221001E-5</v>
          </cell>
          <cell r="G277">
            <v>1.8910346388704199E-5</v>
          </cell>
          <cell r="H277">
            <v>1.7915866717037499E-5</v>
          </cell>
          <cell r="I277">
            <v>4.7899982653703101E-3</v>
          </cell>
          <cell r="J277">
            <v>3.95342738589387E-2</v>
          </cell>
        </row>
        <row r="278">
          <cell r="B278" t="str">
            <v>HPLWOD</v>
          </cell>
          <cell r="C278" t="str">
            <v>VAR_cap</v>
          </cell>
          <cell r="D278" t="str">
            <v>-</v>
          </cell>
          <cell r="E278">
            <v>0.18863826410238299</v>
          </cell>
          <cell r="F278">
            <v>0.18865916771980101</v>
          </cell>
          <cell r="G278">
            <v>0.18867807806619</v>
          </cell>
          <cell r="H278">
            <v>0.18869599393290701</v>
          </cell>
          <cell r="I278">
            <v>7.1057892696359898E-2</v>
          </cell>
          <cell r="J278">
            <v>4.4497236820078397E-2</v>
          </cell>
        </row>
        <row r="279">
          <cell r="B279" t="str">
            <v>ENGA-GTCC</v>
          </cell>
          <cell r="C279" t="str">
            <v>VAR_fout</v>
          </cell>
          <cell r="D279" t="str">
            <v>ELC13</v>
          </cell>
          <cell r="E279"/>
          <cell r="F279"/>
          <cell r="G279"/>
          <cell r="H279"/>
          <cell r="I279">
            <v>0.28856591731128578</v>
          </cell>
          <cell r="J279">
            <v>1.78249039082762E-2</v>
          </cell>
        </row>
        <row r="280">
          <cell r="B280" t="str">
            <v>ENGA-GTCC</v>
          </cell>
          <cell r="C280" t="str">
            <v>VAR_fout</v>
          </cell>
          <cell r="D280" t="str">
            <v>CO2_E</v>
          </cell>
          <cell r="E280"/>
          <cell r="F280"/>
          <cell r="G280"/>
          <cell r="H280"/>
          <cell r="I280">
            <v>26.2515232472802</v>
          </cell>
          <cell r="J280">
            <v>1.7380449170032299</v>
          </cell>
        </row>
        <row r="281">
          <cell r="B281" t="str">
            <v>ENGA-GTCC</v>
          </cell>
          <cell r="C281" t="str">
            <v>VAR_fin</v>
          </cell>
          <cell r="D281" t="str">
            <v>ENGA</v>
          </cell>
          <cell r="E281"/>
          <cell r="F281"/>
          <cell r="G281"/>
          <cell r="H281"/>
          <cell r="I281">
            <v>0.46545253984539409</v>
          </cell>
          <cell r="J281">
            <v>3.0816399237645949E-2</v>
          </cell>
        </row>
        <row r="282">
          <cell r="B282" t="str">
            <v>ENGA-GTCC</v>
          </cell>
          <cell r="C282" t="str">
            <v>VAR_fin</v>
          </cell>
          <cell r="D282" t="str">
            <v>GTC</v>
          </cell>
          <cell r="E282"/>
          <cell r="F282"/>
          <cell r="G282"/>
          <cell r="H282"/>
          <cell r="I282">
            <v>1.55906066807836E-2</v>
          </cell>
          <cell r="J282">
            <v>2.9009810445399377E-3</v>
          </cell>
        </row>
        <row r="283">
          <cell r="B283" t="str">
            <v>ENGA-GTCC</v>
          </cell>
          <cell r="C283" t="str">
            <v>VAR_ncap</v>
          </cell>
          <cell r="D283" t="str">
            <v>-</v>
          </cell>
          <cell r="E283"/>
          <cell r="F283"/>
          <cell r="G283"/>
          <cell r="H283"/>
          <cell r="I283">
            <v>1.55906066807836E-2</v>
          </cell>
          <cell r="J283">
            <v>3.2961528813487701E-5</v>
          </cell>
        </row>
        <row r="284">
          <cell r="B284" t="str">
            <v>ENGA-GTCC</v>
          </cell>
          <cell r="C284" t="str">
            <v>VAR_cap</v>
          </cell>
          <cell r="D284" t="str">
            <v>-</v>
          </cell>
          <cell r="E284"/>
          <cell r="F284"/>
          <cell r="G284"/>
          <cell r="H284"/>
          <cell r="I284">
            <v>1.55906066807836E-2</v>
          </cell>
          <cell r="J284">
            <v>2.9009810445399988E-3</v>
          </cell>
        </row>
        <row r="285">
          <cell r="B285" t="str">
            <v>D-SNGA</v>
          </cell>
          <cell r="C285" t="str">
            <v>VAR_fout</v>
          </cell>
          <cell r="D285" t="str">
            <v>CO2</v>
          </cell>
          <cell r="E285">
            <v>1531.1157641596001</v>
          </cell>
          <cell r="F285">
            <v>1509.0083738590599</v>
          </cell>
          <cell r="G285">
            <v>1250.3327362170401</v>
          </cell>
          <cell r="H285">
            <v>813.36564766532797</v>
          </cell>
          <cell r="I285">
            <v>830.58722876649904</v>
          </cell>
          <cell r="J285">
            <v>280.56514376185498</v>
          </cell>
        </row>
        <row r="286">
          <cell r="B286" t="str">
            <v>D-SNGA</v>
          </cell>
          <cell r="C286" t="str">
            <v>VAR_fout</v>
          </cell>
          <cell r="D286" t="str">
            <v>SNGA</v>
          </cell>
          <cell r="E286">
            <v>27.362049787638764</v>
          </cell>
          <cell r="F286">
            <v>27.294776413269968</v>
          </cell>
          <cell r="G286">
            <v>22.558275358236475</v>
          </cell>
          <cell r="H286">
            <v>16.34347240413241</v>
          </cell>
          <cell r="I286">
            <v>15.788017241961386</v>
          </cell>
          <cell r="J286">
            <v>4.9615526253838294</v>
          </cell>
        </row>
        <row r="287">
          <cell r="B287" t="str">
            <v>D-SNGA</v>
          </cell>
          <cell r="C287" t="str">
            <v>VAR_fout</v>
          </cell>
          <cell r="D287" t="str">
            <v>RSH2</v>
          </cell>
          <cell r="E287"/>
          <cell r="F287"/>
          <cell r="G287"/>
          <cell r="H287">
            <v>1.1355388563094781E-3</v>
          </cell>
          <cell r="I287">
            <v>2.8426652660524816E-3</v>
          </cell>
          <cell r="J287">
            <v>1.4534002680867075E-2</v>
          </cell>
        </row>
        <row r="288">
          <cell r="B288" t="str">
            <v>D-SNGA</v>
          </cell>
          <cell r="C288" t="str">
            <v>VAR_fin</v>
          </cell>
          <cell r="D288" t="str">
            <v>NGA</v>
          </cell>
          <cell r="E288">
            <v>27.147442626943267</v>
          </cell>
          <cell r="F288">
            <v>26.755467621614581</v>
          </cell>
          <cell r="G288">
            <v>22.169020145692201</v>
          </cell>
          <cell r="H288">
            <v>14.421376731654766</v>
          </cell>
          <cell r="I288">
            <v>14.726723914299647</v>
          </cell>
          <cell r="J288">
            <v>4.9745592865577013</v>
          </cell>
        </row>
        <row r="289">
          <cell r="B289" t="str">
            <v>D-SNGA</v>
          </cell>
          <cell r="C289" t="str">
            <v>VAR_fin</v>
          </cell>
          <cell r="D289" t="str">
            <v>BNGA</v>
          </cell>
          <cell r="E289">
            <v>0.30201850091660654</v>
          </cell>
          <cell r="F289">
            <v>0.6265052190370185</v>
          </cell>
          <cell r="G289">
            <v>0.46132032087660024</v>
          </cell>
          <cell r="H289">
            <v>1.9745642638810892</v>
          </cell>
          <cell r="I289">
            <v>1.1127201900858277</v>
          </cell>
          <cell r="J289">
            <v>3.5623615037481825E-3</v>
          </cell>
        </row>
        <row r="290">
          <cell r="B290" t="str">
            <v>D-SNGA</v>
          </cell>
          <cell r="C290" t="str">
            <v>VAR_fin</v>
          </cell>
          <cell r="D290" t="str">
            <v>H2</v>
          </cell>
          <cell r="E290"/>
          <cell r="F290"/>
          <cell r="G290"/>
          <cell r="H290">
            <v>1.1316719063297692E-3</v>
          </cell>
          <cell r="I290">
            <v>2.8418956419887643E-3</v>
          </cell>
          <cell r="J290">
            <v>1.4532274530591797E-2</v>
          </cell>
        </row>
        <row r="291">
          <cell r="B291" t="str">
            <v>D-SNGA</v>
          </cell>
          <cell r="C291" t="str">
            <v>VAR_ncap</v>
          </cell>
          <cell r="D291" t="str">
            <v>-</v>
          </cell>
          <cell r="E291">
            <v>3.8323981593003703E-5</v>
          </cell>
          <cell r="F291">
            <v>1.8531777102258901E-6</v>
          </cell>
          <cell r="G291">
            <v>2.6713498114302501E-6</v>
          </cell>
          <cell r="H291">
            <v>3.7156778209067198E-6</v>
          </cell>
          <cell r="I291">
            <v>7.8870287776396502E-6</v>
          </cell>
          <cell r="J291">
            <v>2.19117166707295E-5</v>
          </cell>
        </row>
        <row r="292">
          <cell r="B292" t="str">
            <v>D-SNGA</v>
          </cell>
          <cell r="C292" t="str">
            <v>VAR_cap</v>
          </cell>
          <cell r="D292" t="str">
            <v>-</v>
          </cell>
          <cell r="E292">
            <v>2.2350905256067333</v>
          </cell>
          <cell r="F292">
            <v>2.2350923787844432</v>
          </cell>
          <cell r="G292">
            <v>2.2350950501342548</v>
          </cell>
          <cell r="H292">
            <v>2.2350987658120758</v>
          </cell>
          <cell r="I292">
            <v>2.2351161673808693</v>
          </cell>
          <cell r="J292">
            <v>1.12097637996126</v>
          </cell>
        </row>
        <row r="293">
          <cell r="B293" t="str">
            <v>RHES-CHPWOD</v>
          </cell>
          <cell r="C293" t="str">
            <v>VAR_fout</v>
          </cell>
          <cell r="D293" t="str">
            <v>RHES_KEV_WOD_ELC_CHP</v>
          </cell>
          <cell r="E293"/>
          <cell r="F293"/>
          <cell r="G293"/>
          <cell r="H293">
            <v>1.1184593825819243E-3</v>
          </cell>
          <cell r="I293">
            <v>6.9183439225539182E-3</v>
          </cell>
          <cell r="J293">
            <v>3.2563437276872916E-3</v>
          </cell>
        </row>
        <row r="294">
          <cell r="B294" t="str">
            <v>RHES-CHPWOD</v>
          </cell>
          <cell r="C294" t="str">
            <v>VAR_fout</v>
          </cell>
          <cell r="D294" t="str">
            <v>RHES_LTH_CHPWOD</v>
          </cell>
          <cell r="E294"/>
          <cell r="F294"/>
          <cell r="G294"/>
          <cell r="H294">
            <v>3.019356959644321E-3</v>
          </cell>
          <cell r="I294">
            <v>1.7904780841285266E-2</v>
          </cell>
          <cell r="J294">
            <v>8.0930444956305529E-3</v>
          </cell>
        </row>
        <row r="295">
          <cell r="B295" t="str">
            <v>RHES-CHPWOD</v>
          </cell>
          <cell r="C295" t="str">
            <v>VAR_fin</v>
          </cell>
          <cell r="D295" t="str">
            <v>RWOD</v>
          </cell>
          <cell r="E295"/>
          <cell r="F295"/>
          <cell r="G295"/>
          <cell r="H295">
            <v>4.7005642080160202E-3</v>
          </cell>
          <cell r="I295">
            <v>4.1376053206213716E-2</v>
          </cell>
          <cell r="J295">
            <v>1.3621495798199001E-2</v>
          </cell>
        </row>
        <row r="296">
          <cell r="B296" t="str">
            <v>RHES-CHPWOD</v>
          </cell>
          <cell r="C296" t="str">
            <v>VAR_ncap</v>
          </cell>
          <cell r="D296" t="str">
            <v>-</v>
          </cell>
          <cell r="E296"/>
          <cell r="F296"/>
          <cell r="G296"/>
          <cell r="H296">
            <v>1.2870337175825399E-4</v>
          </cell>
          <cell r="I296">
            <v>2.7835198329990699E-5</v>
          </cell>
          <cell r="J296">
            <v>5.8405657424809098E-5</v>
          </cell>
        </row>
        <row r="297">
          <cell r="B297" t="str">
            <v>RHES-CHPWOD</v>
          </cell>
          <cell r="C297" t="str">
            <v>VAR_cap</v>
          </cell>
          <cell r="D297" t="str">
            <v>-</v>
          </cell>
          <cell r="E297"/>
          <cell r="F297"/>
          <cell r="G297"/>
          <cell r="H297">
            <v>1.2870337175825399E-4</v>
          </cell>
          <cell r="I297">
            <v>6.16831483150359E-4</v>
          </cell>
          <cell r="J297">
            <v>2.9043234949788254E-4</v>
          </cell>
        </row>
        <row r="298">
          <cell r="B298" t="str">
            <v>G-INTC-RES</v>
          </cell>
          <cell r="C298" t="str">
            <v>VAR_fout</v>
          </cell>
          <cell r="D298" t="str">
            <v>RHNS_ELC</v>
          </cell>
          <cell r="E298">
            <v>13.167241343749971</v>
          </cell>
          <cell r="F298">
            <v>14.873179587774183</v>
          </cell>
          <cell r="G298">
            <v>15.147873957330873</v>
          </cell>
          <cell r="H298">
            <v>14.389854625952182</v>
          </cell>
          <cell r="I298">
            <v>15.999139410363869</v>
          </cell>
          <cell r="J298">
            <v>16.740352566014977</v>
          </cell>
        </row>
        <row r="299">
          <cell r="B299" t="str">
            <v>G-INTC-RES</v>
          </cell>
          <cell r="C299" t="str">
            <v>VAR_fout</v>
          </cell>
          <cell r="D299" t="str">
            <v>ELC35</v>
          </cell>
          <cell r="E299">
            <v>46.273219286187818</v>
          </cell>
          <cell r="F299">
            <v>6.0125709254864941E-2</v>
          </cell>
          <cell r="G299">
            <v>0.13779896883821566</v>
          </cell>
          <cell r="H299">
            <v>1.3494419034530739E-3</v>
          </cell>
          <cell r="I299">
            <v>1.4100045193986147E-2</v>
          </cell>
          <cell r="J299">
            <v>0.28643236531531163</v>
          </cell>
        </row>
        <row r="300">
          <cell r="B300" t="str">
            <v>G-INTC-RES</v>
          </cell>
          <cell r="C300" t="str">
            <v>VAR_fout</v>
          </cell>
          <cell r="D300" t="str">
            <v>RHES_ELC</v>
          </cell>
          <cell r="E300">
            <v>22.987022859444476</v>
          </cell>
          <cell r="F300">
            <v>19.068435573287712</v>
          </cell>
          <cell r="G300">
            <v>19.095686989346824</v>
          </cell>
          <cell r="H300">
            <v>19.011833194931167</v>
          </cell>
          <cell r="I300">
            <v>21.08387647167709</v>
          </cell>
          <cell r="J300">
            <v>20.739570025370121</v>
          </cell>
        </row>
        <row r="301">
          <cell r="B301" t="str">
            <v>G-INTC-RES</v>
          </cell>
          <cell r="C301" t="str">
            <v>VAR_fout</v>
          </cell>
          <cell r="D301" t="str">
            <v>RHNM_ELC</v>
          </cell>
          <cell r="E301">
            <v>12.197705463733911</v>
          </cell>
          <cell r="F301">
            <v>14.8982034120521</v>
          </cell>
          <cell r="G301">
            <v>14.752748582341884</v>
          </cell>
          <cell r="H301">
            <v>13.957968451284398</v>
          </cell>
          <cell r="I301">
            <v>15.382419631290437</v>
          </cell>
          <cell r="J301">
            <v>16.059159322233043</v>
          </cell>
        </row>
        <row r="302">
          <cell r="B302" t="str">
            <v>G-INTC-RES</v>
          </cell>
          <cell r="C302" t="str">
            <v>VAR_fout</v>
          </cell>
          <cell r="D302" t="str">
            <v>RHEM_ELC</v>
          </cell>
          <cell r="E302">
            <v>23.868363823369126</v>
          </cell>
          <cell r="F302">
            <v>17.899472163163402</v>
          </cell>
          <cell r="G302">
            <v>16.552063157120443</v>
          </cell>
          <cell r="H302">
            <v>17.127227377076217</v>
          </cell>
          <cell r="I302">
            <v>19.112469136385254</v>
          </cell>
          <cell r="J302">
            <v>18.764901726311713</v>
          </cell>
        </row>
        <row r="303">
          <cell r="B303" t="str">
            <v>G-INTC-RES</v>
          </cell>
          <cell r="C303" t="str">
            <v>VAR_fin</v>
          </cell>
          <cell r="D303" t="str">
            <v>ELC5</v>
          </cell>
          <cell r="E303">
            <v>118.49341619558935</v>
          </cell>
          <cell r="F303">
            <v>66.799416445532287</v>
          </cell>
          <cell r="G303">
            <v>65.686171654978182</v>
          </cell>
          <cell r="H303">
            <v>64.488233091147507</v>
          </cell>
          <cell r="I303">
            <v>71.592004694910628</v>
          </cell>
          <cell r="J303">
            <v>72.590416005245203</v>
          </cell>
        </row>
        <row r="304">
          <cell r="B304" t="str">
            <v>G-INTC-RES</v>
          </cell>
          <cell r="C304" t="str">
            <v>VAR_ncap</v>
          </cell>
          <cell r="D304" t="str">
            <v>-</v>
          </cell>
          <cell r="E304">
            <v>4.6479490491902701E-7</v>
          </cell>
          <cell r="F304">
            <v>4.5734641760523E-7</v>
          </cell>
          <cell r="G304">
            <v>4.2179660619884602E-7</v>
          </cell>
          <cell r="H304">
            <v>6.00446823579184E-7</v>
          </cell>
          <cell r="I304">
            <v>9.0916646106623597E-7</v>
          </cell>
          <cell r="J304">
            <v>1.6476228121464599E-6</v>
          </cell>
        </row>
        <row r="305">
          <cell r="B305" t="str">
            <v>G-INTC-RES</v>
          </cell>
          <cell r="C305" t="str">
            <v>VAR_cap</v>
          </cell>
          <cell r="D305" t="str">
            <v>-</v>
          </cell>
          <cell r="E305">
            <v>4.3300925142827298</v>
          </cell>
          <cell r="F305">
            <v>4.3300926654048277</v>
          </cell>
          <cell r="G305">
            <v>4.3300934364240522</v>
          </cell>
          <cell r="H305">
            <v>4.3300941885801008</v>
          </cell>
          <cell r="I305">
            <v>4.330095654663106</v>
          </cell>
          <cell r="J305">
            <v>4.3300973452574683</v>
          </cell>
        </row>
        <row r="306">
          <cell r="B306" t="str">
            <v>SCOM-CHPNGA</v>
          </cell>
          <cell r="C306" t="str">
            <v>VAR_fout</v>
          </cell>
          <cell r="D306" t="str">
            <v>CO2_S</v>
          </cell>
          <cell r="E306">
            <v>102.272680006729</v>
          </cell>
          <cell r="F306">
            <v>98.1480545203719</v>
          </cell>
          <cell r="G306">
            <v>5.8362358670781003</v>
          </cell>
          <cell r="H306">
            <v>1.94254752378095E-3</v>
          </cell>
          <cell r="I306">
            <v>458.78256879901897</v>
          </cell>
          <cell r="J306">
            <v>0.53698646719060095</v>
          </cell>
        </row>
        <row r="307">
          <cell r="B307" t="str">
            <v>SCOM-CHPNGA</v>
          </cell>
          <cell r="C307" t="str">
            <v>VAR_fout</v>
          </cell>
          <cell r="D307" t="str">
            <v>SCOM_NKEV_GAS_ELC_CHP</v>
          </cell>
          <cell r="E307">
            <v>0.59443802389321243</v>
          </cell>
          <cell r="F307">
            <v>0.62595695409197749</v>
          </cell>
          <cell r="G307">
            <v>2.5371443853519277E-2</v>
          </cell>
          <cell r="H307">
            <v>8.2229131982260463E-6</v>
          </cell>
          <cell r="I307">
            <v>2.9269233076854606</v>
          </cell>
          <cell r="J307">
            <v>2.9199764193171504E-3</v>
          </cell>
        </row>
        <row r="308">
          <cell r="B308" t="str">
            <v>SCOM-CHPNGA</v>
          </cell>
          <cell r="C308" t="str">
            <v>VAR_fout</v>
          </cell>
          <cell r="D308" t="str">
            <v>SCOM_LTH_CHPNGA</v>
          </cell>
          <cell r="E308">
            <v>0.69262303958150817</v>
          </cell>
          <cell r="F308">
            <v>0.75030677996526129</v>
          </cell>
          <cell r="G308">
            <v>3.168587938283051E-2</v>
          </cell>
          <cell r="H308">
            <v>1.1224962086698143E-5</v>
          </cell>
          <cell r="I308">
            <v>4.3903849615281878</v>
          </cell>
          <cell r="J308">
            <v>4.3802377611356341E-3</v>
          </cell>
        </row>
        <row r="309">
          <cell r="B309" t="str">
            <v>SCOM-CHPNGA</v>
          </cell>
          <cell r="C309" t="str">
            <v>VAR_fin</v>
          </cell>
          <cell r="D309" t="str">
            <v>SNGA</v>
          </cell>
          <cell r="E309">
            <v>1.8133453901902359</v>
          </cell>
          <cell r="F309">
            <v>1.7402137326307057</v>
          </cell>
          <cell r="G309">
            <v>0.1034793593453564</v>
          </cell>
          <cell r="H309">
            <v>3.4442331981931786E-5</v>
          </cell>
          <cell r="I309">
            <v>8.1344427092024567</v>
          </cell>
          <cell r="J309">
            <v>9.52103665231562E-3</v>
          </cell>
        </row>
        <row r="310">
          <cell r="B310" t="str">
            <v>SCOM-CHPNGA</v>
          </cell>
          <cell r="C310" t="str">
            <v>VAR_ncap</v>
          </cell>
          <cell r="D310" t="str">
            <v>-</v>
          </cell>
          <cell r="E310"/>
          <cell r="F310">
            <v>2.71996643141665E-2</v>
          </cell>
          <cell r="G310">
            <v>1.5410218100808199E-6</v>
          </cell>
          <cell r="H310">
            <v>5.3044356047972502E-7</v>
          </cell>
          <cell r="I310">
            <v>0.171410628421062</v>
          </cell>
          <cell r="J310">
            <v>9.1400981118236404E-7</v>
          </cell>
        </row>
        <row r="311">
          <cell r="B311" t="str">
            <v>SCOM-CHPNGA</v>
          </cell>
          <cell r="C311" t="str">
            <v>VAR_cap</v>
          </cell>
          <cell r="D311" t="str">
            <v>-</v>
          </cell>
          <cell r="E311">
            <v>6.5199069864587789E-2</v>
          </cell>
          <cell r="F311">
            <v>4.7902064996122908E-2</v>
          </cell>
          <cell r="G311">
            <v>4.1064750531882993E-3</v>
          </cell>
          <cell r="H311">
            <v>6.8329795469695975E-7</v>
          </cell>
          <cell r="I311">
            <v>0.1717920537358425</v>
          </cell>
          <cell r="J311">
            <v>4.7614272716400841E-4</v>
          </cell>
        </row>
        <row r="312">
          <cell r="B312" t="str">
            <v>D-IPLT</v>
          </cell>
          <cell r="C312" t="str">
            <v>VAR_fout</v>
          </cell>
          <cell r="D312" t="str">
            <v>IPLT</v>
          </cell>
          <cell r="E312">
            <v>0.62580210231920408</v>
          </cell>
          <cell r="F312">
            <v>0.73757745001937336</v>
          </cell>
          <cell r="G312">
            <v>0.73633522482937075</v>
          </cell>
          <cell r="H312">
            <v>0.73426439223568929</v>
          </cell>
          <cell r="I312">
            <v>0.74126498691768372</v>
          </cell>
          <cell r="J312">
            <v>0.73803848953792095</v>
          </cell>
        </row>
        <row r="313">
          <cell r="B313" t="str">
            <v>D-IPLT</v>
          </cell>
          <cell r="C313" t="str">
            <v>VAR_fin</v>
          </cell>
          <cell r="D313" t="str">
            <v>PLT</v>
          </cell>
          <cell r="E313">
            <v>0.62580210231920408</v>
          </cell>
          <cell r="F313">
            <v>0.73757745001937336</v>
          </cell>
          <cell r="G313">
            <v>0.73633522482937075</v>
          </cell>
          <cell r="H313">
            <v>0.73426439223568929</v>
          </cell>
          <cell r="I313">
            <v>0.74126498691768372</v>
          </cell>
          <cell r="J313">
            <v>0.73803848953792095</v>
          </cell>
        </row>
        <row r="314">
          <cell r="B314" t="str">
            <v>LTH-STG</v>
          </cell>
          <cell r="C314" t="str">
            <v>VAR_fout</v>
          </cell>
          <cell r="D314" t="str">
            <v>AUX_LTH-STG_OUT</v>
          </cell>
          <cell r="E314">
            <v>4.8560716383995391E-4</v>
          </cell>
          <cell r="F314">
            <v>4.7492424550777974E-3</v>
          </cell>
          <cell r="G314">
            <v>2.0232402893222121E-2</v>
          </cell>
          <cell r="H314">
            <v>4.9713453339709785E-4</v>
          </cell>
          <cell r="I314">
            <v>3.7595418244641091E-2</v>
          </cell>
          <cell r="J314">
            <v>9.1786669860127845E-2</v>
          </cell>
        </row>
        <row r="315">
          <cell r="B315" t="str">
            <v>LTH-STG</v>
          </cell>
          <cell r="C315" t="str">
            <v>VAR_fout</v>
          </cell>
          <cell r="D315" t="str">
            <v>LTH</v>
          </cell>
          <cell r="E315">
            <v>4.8560716383995304E-4</v>
          </cell>
          <cell r="F315">
            <v>4.7524086167145055E-3</v>
          </cell>
          <cell r="G315">
            <v>2.0253478312902532E-2</v>
          </cell>
          <cell r="H315">
            <v>4.9713453339709785E-4</v>
          </cell>
          <cell r="I315">
            <v>3.7595418244640973E-2</v>
          </cell>
          <cell r="J315">
            <v>9.1786669860127831E-2</v>
          </cell>
        </row>
        <row r="316">
          <cell r="B316" t="str">
            <v>LTH-STG</v>
          </cell>
          <cell r="C316" t="str">
            <v>VAR_fin</v>
          </cell>
          <cell r="D316" t="str">
            <v>AUX_LTH-STG_IN</v>
          </cell>
          <cell r="E316">
            <v>6.1382072690343496E-4</v>
          </cell>
          <cell r="F316">
            <v>6.2518225135962339E-3</v>
          </cell>
          <cell r="G316">
            <v>2.614193427667847E-2</v>
          </cell>
          <cell r="H316">
            <v>6.1519652311750345E-4</v>
          </cell>
          <cell r="I316">
            <v>4.4238693940130983E-2</v>
          </cell>
          <cell r="J316">
            <v>0.10198752364429088</v>
          </cell>
        </row>
        <row r="317">
          <cell r="B317" t="str">
            <v>LTH-STG</v>
          </cell>
          <cell r="C317" t="str">
            <v>VAR_fin</v>
          </cell>
          <cell r="D317" t="str">
            <v>LTH</v>
          </cell>
          <cell r="E317">
            <v>6.1382072690343496E-4</v>
          </cell>
          <cell r="F317">
            <v>6.2518225135962339E-3</v>
          </cell>
          <cell r="G317">
            <v>2.614193427667847E-2</v>
          </cell>
          <cell r="H317">
            <v>6.1519652311750345E-4</v>
          </cell>
          <cell r="I317">
            <v>4.4238693940130983E-2</v>
          </cell>
          <cell r="J317">
            <v>0.10198752364429088</v>
          </cell>
        </row>
        <row r="318">
          <cell r="B318" t="str">
            <v>LTH-STG</v>
          </cell>
          <cell r="C318" t="str">
            <v>VAR_ncap</v>
          </cell>
          <cell r="D318" t="str">
            <v>-</v>
          </cell>
          <cell r="E318">
            <v>3.1144760278299598E-3</v>
          </cell>
          <cell r="F318">
            <v>5.1186087129634102E-5</v>
          </cell>
          <cell r="G318">
            <v>3.3578024215335902E-5</v>
          </cell>
          <cell r="H318">
            <v>3.01635738390339E-5</v>
          </cell>
          <cell r="I318">
            <v>1.46665750611812E-3</v>
          </cell>
          <cell r="J318">
            <v>5.1578923064420801E-2</v>
          </cell>
        </row>
        <row r="319">
          <cell r="B319" t="str">
            <v>LTH-STG</v>
          </cell>
          <cell r="C319" t="str">
            <v>VAR_cap</v>
          </cell>
          <cell r="D319" t="str">
            <v>-</v>
          </cell>
          <cell r="E319">
            <v>3.2758569477929099E-3</v>
          </cell>
          <cell r="F319">
            <v>3.3110308635986318E-3</v>
          </cell>
          <cell r="G319">
            <v>3.3130972600017372E-3</v>
          </cell>
          <cell r="H319">
            <v>3.0719654665633299E-3</v>
          </cell>
          <cell r="I319">
            <v>2.7219004311209091E-3</v>
          </cell>
          <cell r="J319">
            <v>5.3206541851327685E-2</v>
          </cell>
        </row>
        <row r="320">
          <cell r="B320" t="str">
            <v>ITOT-CHPOIL</v>
          </cell>
          <cell r="C320" t="str">
            <v>VAR_fout</v>
          </cell>
          <cell r="D320" t="str">
            <v>ITOT_LTH_CHP</v>
          </cell>
          <cell r="E320">
            <v>0.92954347676770799</v>
          </cell>
          <cell r="F320">
            <v>2.0703244223048678</v>
          </cell>
          <cell r="G320">
            <v>7.6450775834111126E-2</v>
          </cell>
          <cell r="H320">
            <v>1.1798399353600948E-4</v>
          </cell>
          <cell r="I320">
            <v>0.3733603460998865</v>
          </cell>
          <cell r="J320">
            <v>0.38024565079237488</v>
          </cell>
        </row>
        <row r="321">
          <cell r="B321" t="str">
            <v>ITOT-CHPOIL</v>
          </cell>
          <cell r="C321" t="str">
            <v>VAR_fout</v>
          </cell>
          <cell r="D321" t="str">
            <v>ITOT_NKEV_OIL_ELC_CHP</v>
          </cell>
          <cell r="E321">
            <v>7.0517091340998414E-2</v>
          </cell>
          <cell r="F321">
            <v>0.17130919300035691</v>
          </cell>
          <cell r="G321">
            <v>7.3224899549460733E-3</v>
          </cell>
          <cell r="H321">
            <v>1.5324051208595847E-5</v>
          </cell>
          <cell r="I321">
            <v>0.16842918920540154</v>
          </cell>
          <cell r="J321">
            <v>0.17153526701709715</v>
          </cell>
        </row>
        <row r="322">
          <cell r="B322" t="str">
            <v>ITOT-CHPOIL</v>
          </cell>
          <cell r="C322" t="str">
            <v>VAR_fout</v>
          </cell>
          <cell r="D322" t="str">
            <v>CO2_I</v>
          </cell>
          <cell r="E322">
            <v>25.853617078075601</v>
          </cell>
          <cell r="F322">
            <v>51.332781257475602</v>
          </cell>
          <cell r="G322">
            <v>2.7149039353545601</v>
          </cell>
          <cell r="H322">
            <v>5.2036244546604998E-3</v>
          </cell>
          <cell r="I322">
            <v>212.17408336039199</v>
          </cell>
          <cell r="J322">
            <v>48.221533785113003</v>
          </cell>
        </row>
        <row r="323">
          <cell r="B323" t="str">
            <v>ITOT-CHPOIL</v>
          </cell>
          <cell r="C323" t="str">
            <v>VAR_fin</v>
          </cell>
          <cell r="D323" t="str">
            <v>ILFO</v>
          </cell>
          <cell r="E323">
            <v>0.35079534705665627</v>
          </cell>
          <cell r="F323">
            <v>0.69650992208243778</v>
          </cell>
          <cell r="G323">
            <v>3.6837231144566586E-2</v>
          </cell>
          <cell r="H323">
            <v>7.0605487851567092E-5</v>
          </cell>
          <cell r="I323">
            <v>2.878888512352678</v>
          </cell>
          <cell r="J323">
            <v>0.65429489532039253</v>
          </cell>
        </row>
        <row r="324">
          <cell r="B324" t="str">
            <v>ITOT-CHPOIL</v>
          </cell>
          <cell r="C324" t="str">
            <v>VAR_ncap</v>
          </cell>
          <cell r="D324" t="str">
            <v>-</v>
          </cell>
          <cell r="E324"/>
          <cell r="F324">
            <v>6.1108270045355604E-3</v>
          </cell>
          <cell r="G324">
            <v>4.50441183677612E-6</v>
          </cell>
          <cell r="H324">
            <v>1.19647433651287E-5</v>
          </cell>
          <cell r="I324">
            <v>2.0326360975739501E-2</v>
          </cell>
          <cell r="J324">
            <v>9.5831854265012797E-3</v>
          </cell>
        </row>
        <row r="325">
          <cell r="B325" t="str">
            <v>ITOT-CHPOIL</v>
          </cell>
          <cell r="C325" t="str">
            <v>VAR_cap</v>
          </cell>
          <cell r="D325" t="str">
            <v>-</v>
          </cell>
          <cell r="E325">
            <v>8.3030418575452403E-3</v>
          </cell>
          <cell r="F325">
            <v>7.0414518551081308E-3</v>
          </cell>
          <cell r="G325">
            <v>7.0157257677991927E-3</v>
          </cell>
          <cell r="H325">
            <v>2.893963751112328E-5</v>
          </cell>
          <cell r="I325">
            <v>2.1539491059420546E-2</v>
          </cell>
          <cell r="J325">
            <v>2.4841531900038665E-2</v>
          </cell>
        </row>
        <row r="326">
          <cell r="B326" t="str">
            <v>ENUC_GOE</v>
          </cell>
          <cell r="C326" t="str">
            <v>VAR_fout</v>
          </cell>
          <cell r="D326" t="str">
            <v>ELC</v>
          </cell>
          <cell r="E326">
            <v>29.714401933774528</v>
          </cell>
          <cell r="F326">
            <v>29.710551161342725</v>
          </cell>
          <cell r="G326">
            <v>26.142542162917504</v>
          </cell>
          <cell r="H326">
            <v>28.979946642407285</v>
          </cell>
          <cell r="I326"/>
          <cell r="J326"/>
        </row>
        <row r="327">
          <cell r="B327" t="str">
            <v>ENUC_GOE</v>
          </cell>
          <cell r="C327" t="str">
            <v>VAR_fin</v>
          </cell>
          <cell r="D327" t="str">
            <v>URN</v>
          </cell>
          <cell r="E327">
            <v>89.580581183506666</v>
          </cell>
          <cell r="F327">
            <v>89.56897218551255</v>
          </cell>
          <cell r="G327">
            <v>78.812426573076152</v>
          </cell>
          <cell r="H327">
            <v>87.366404637042166</v>
          </cell>
          <cell r="I327"/>
          <cell r="J327"/>
        </row>
        <row r="328">
          <cell r="B328" t="str">
            <v>ENUC_GOE</v>
          </cell>
          <cell r="C328" t="str">
            <v>VAR_cap</v>
          </cell>
          <cell r="D328" t="str">
            <v>-</v>
          </cell>
          <cell r="E328">
            <v>1.01</v>
          </cell>
          <cell r="F328">
            <v>1.01</v>
          </cell>
          <cell r="G328">
            <v>1.01</v>
          </cell>
          <cell r="H328">
            <v>1.01</v>
          </cell>
          <cell r="I328"/>
          <cell r="J328"/>
        </row>
        <row r="329">
          <cell r="B329" t="str">
            <v>D-RNGA</v>
          </cell>
          <cell r="C329" t="str">
            <v>VAR_fout</v>
          </cell>
          <cell r="D329" t="str">
            <v>CO2</v>
          </cell>
          <cell r="E329">
            <v>2673.8047481358999</v>
          </cell>
          <cell r="F329">
            <v>2695.2912949486899</v>
          </cell>
          <cell r="G329">
            <v>2526.55442811378</v>
          </cell>
          <cell r="H329">
            <v>1645.07720598778</v>
          </cell>
          <cell r="I329">
            <v>982.08263303164495</v>
          </cell>
          <cell r="J329">
            <v>722.88493779895396</v>
          </cell>
        </row>
        <row r="330">
          <cell r="B330" t="str">
            <v>D-RNGA</v>
          </cell>
          <cell r="C330" t="str">
            <v>VAR_fout</v>
          </cell>
          <cell r="D330" t="str">
            <v>RNGA</v>
          </cell>
          <cell r="E330">
            <v>47.561292241215682</v>
          </cell>
          <cell r="F330">
            <v>48.283299033409044</v>
          </cell>
          <cell r="G330">
            <v>45.197388200477803</v>
          </cell>
          <cell r="H330">
            <v>33.207158889942114</v>
          </cell>
          <cell r="I330">
            <v>19.117562883894369</v>
          </cell>
          <cell r="J330">
            <v>12.779066260030319</v>
          </cell>
        </row>
        <row r="331">
          <cell r="B331" t="str">
            <v>D-RNGA</v>
          </cell>
          <cell r="C331" t="str">
            <v>VAR_fout</v>
          </cell>
          <cell r="D331" t="str">
            <v>RSH2</v>
          </cell>
          <cell r="E331"/>
          <cell r="F331"/>
          <cell r="G331"/>
          <cell r="H331">
            <v>1.1819942634744686E-3</v>
          </cell>
          <cell r="I331">
            <v>3.2847717042377763E-3</v>
          </cell>
          <cell r="J331">
            <v>3.6067808363436205E-2</v>
          </cell>
        </row>
        <row r="332">
          <cell r="B332" t="str">
            <v>D-RNGA</v>
          </cell>
          <cell r="C332" t="str">
            <v>VAR_fin</v>
          </cell>
          <cell r="D332" t="str">
            <v>NGA</v>
          </cell>
          <cell r="E332">
            <v>47.407885605246499</v>
          </cell>
          <cell r="F332">
            <v>47.788852747317279</v>
          </cell>
          <cell r="G332">
            <v>44.797064328258479</v>
          </cell>
          <cell r="H332">
            <v>29.168035567159247</v>
          </cell>
          <cell r="I332">
            <v>17.412812642405061</v>
          </cell>
          <cell r="J332">
            <v>12.817108826222579</v>
          </cell>
        </row>
        <row r="333">
          <cell r="B333" t="str">
            <v>D-RNGA</v>
          </cell>
          <cell r="C333" t="str">
            <v>VAR_fin</v>
          </cell>
          <cell r="D333" t="str">
            <v>BNGA</v>
          </cell>
          <cell r="E333">
            <v>0.30534687179654146</v>
          </cell>
          <cell r="F333">
            <v>0.64869305896020502</v>
          </cell>
          <cell r="G333">
            <v>0.54471233389388507</v>
          </cell>
          <cell r="H333">
            <v>4.1454830174713502</v>
          </cell>
          <cell r="I333">
            <v>1.7668184694234472</v>
          </cell>
          <cell r="J333">
            <v>3.6066221727319961E-3</v>
          </cell>
        </row>
        <row r="334">
          <cell r="B334" t="str">
            <v>D-RNGA</v>
          </cell>
          <cell r="C334" t="str">
            <v>VAR_fin</v>
          </cell>
          <cell r="D334" t="str">
            <v>H2</v>
          </cell>
          <cell r="E334"/>
          <cell r="F334"/>
          <cell r="G334"/>
          <cell r="H334">
            <v>1.1798564406571115E-3</v>
          </cell>
          <cell r="I334">
            <v>3.2804385498114213E-3</v>
          </cell>
          <cell r="J334">
            <v>3.6062343818202336E-2</v>
          </cell>
        </row>
        <row r="335">
          <cell r="B335" t="str">
            <v>D-RNGA</v>
          </cell>
          <cell r="C335" t="str">
            <v>VAR_ncap</v>
          </cell>
          <cell r="D335" t="str">
            <v>-</v>
          </cell>
          <cell r="E335">
            <v>6.5657137902178797E-6</v>
          </cell>
          <cell r="F335">
            <v>1.0501006443156601E-6</v>
          </cell>
          <cell r="G335">
            <v>1.4114145596767299E-6</v>
          </cell>
          <cell r="H335">
            <v>9.997048790651101E-7</v>
          </cell>
          <cell r="I335">
            <v>2.1403327039551798E-6</v>
          </cell>
          <cell r="J335">
            <v>4.1376627706933096E-6</v>
          </cell>
        </row>
        <row r="336">
          <cell r="B336" t="str">
            <v>D-RNGA</v>
          </cell>
          <cell r="C336" t="str">
            <v>VAR_cap</v>
          </cell>
          <cell r="D336" t="str">
            <v>-</v>
          </cell>
          <cell r="E336">
            <v>3.0972465731097105</v>
          </cell>
          <cell r="F336">
            <v>3.0972476232103547</v>
          </cell>
          <cell r="G336">
            <v>3.0972490346249142</v>
          </cell>
          <cell r="H336">
            <v>3.0972500343297935</v>
          </cell>
          <cell r="I336">
            <v>3.0972537827876838</v>
          </cell>
          <cell r="J336">
            <v>1.5533001610907544</v>
          </cell>
        </row>
        <row r="337">
          <cell r="B337" t="str">
            <v>RHES-CHPGFC</v>
          </cell>
          <cell r="C337" t="str">
            <v>VAR_fout</v>
          </cell>
          <cell r="D337" t="str">
            <v>CO2_R</v>
          </cell>
          <cell r="E337"/>
          <cell r="F337"/>
          <cell r="G337"/>
          <cell r="H337">
            <v>1.87267379713569E-3</v>
          </cell>
          <cell r="I337">
            <v>0.60207334914756705</v>
          </cell>
          <cell r="J337">
            <v>0.49762216575541302</v>
          </cell>
        </row>
        <row r="338">
          <cell r="B338" t="str">
            <v>RHES-CHPGFC</v>
          </cell>
          <cell r="C338" t="str">
            <v>VAR_fout</v>
          </cell>
          <cell r="D338" t="str">
            <v>RHES_NKEV_GAS_ELC_CHP</v>
          </cell>
          <cell r="E338"/>
          <cell r="F338"/>
          <cell r="G338"/>
          <cell r="H338">
            <v>1.39454431701594E-5</v>
          </cell>
          <cell r="I338">
            <v>4.6970261281015901E-3</v>
          </cell>
          <cell r="J338">
            <v>3.9703896203889368E-3</v>
          </cell>
        </row>
        <row r="339">
          <cell r="B339" t="str">
            <v>RHES-CHPGFC</v>
          </cell>
          <cell r="C339" t="str">
            <v>VAR_fout</v>
          </cell>
          <cell r="D339" t="str">
            <v>RHES_LTH_CHPNGA</v>
          </cell>
          <cell r="E339"/>
          <cell r="F339"/>
          <cell r="G339"/>
          <cell r="H339">
            <v>1.5618896350578537E-5</v>
          </cell>
          <cell r="I339">
            <v>4.9788476957876842E-3</v>
          </cell>
          <cell r="J339">
            <v>3.9703896203889368E-3</v>
          </cell>
        </row>
        <row r="340">
          <cell r="B340" t="str">
            <v>RHES-CHPGFC</v>
          </cell>
          <cell r="C340" t="str">
            <v>VAR_fin</v>
          </cell>
          <cell r="D340" t="str">
            <v>RNGA</v>
          </cell>
          <cell r="E340"/>
          <cell r="F340"/>
          <cell r="G340"/>
          <cell r="H340">
            <v>3.3203436119427153E-5</v>
          </cell>
          <cell r="I340">
            <v>1.067505938204907E-2</v>
          </cell>
          <cell r="J340">
            <v>8.8230880453087444E-3</v>
          </cell>
        </row>
        <row r="341">
          <cell r="B341" t="str">
            <v>RHES-CHPGFC</v>
          </cell>
          <cell r="C341" t="str">
            <v>VAR_ncap</v>
          </cell>
          <cell r="D341" t="str">
            <v>-</v>
          </cell>
          <cell r="E341"/>
          <cell r="F341"/>
          <cell r="G341"/>
          <cell r="H341">
            <v>2.0855329809019199E-5</v>
          </cell>
          <cell r="I341">
            <v>1.71862882783781E-4</v>
          </cell>
          <cell r="J341">
            <v>2.1581417212209602E-6</v>
          </cell>
        </row>
        <row r="342">
          <cell r="B342" t="str">
            <v>RHES-CHPGFC</v>
          </cell>
          <cell r="C342" t="str">
            <v>VAR_cap</v>
          </cell>
          <cell r="D342" t="str">
            <v>-</v>
          </cell>
          <cell r="E342"/>
          <cell r="F342"/>
          <cell r="G342"/>
          <cell r="H342">
            <v>2.0855329809019199E-5</v>
          </cell>
          <cell r="I342">
            <v>4.1292536052844859E-4</v>
          </cell>
          <cell r="J342">
            <v>3.5437818237478994E-4</v>
          </cell>
        </row>
        <row r="343">
          <cell r="B343" t="str">
            <v>ITOT-CHPHFC</v>
          </cell>
          <cell r="C343" t="str">
            <v>VAR_fout</v>
          </cell>
          <cell r="D343" t="str">
            <v>ITOT_LTH_CHP</v>
          </cell>
          <cell r="E343"/>
          <cell r="F343"/>
          <cell r="G343"/>
          <cell r="H343"/>
          <cell r="I343">
            <v>3.6932298532031853E-3</v>
          </cell>
          <cell r="J343">
            <v>2.4765129343485262</v>
          </cell>
        </row>
        <row r="344">
          <cell r="B344" t="str">
            <v>ITOT-CHPHFC</v>
          </cell>
          <cell r="C344" t="str">
            <v>VAR_fout</v>
          </cell>
          <cell r="D344" t="str">
            <v>ITOT_KEV_HFC_ELC_CHP</v>
          </cell>
          <cell r="E344"/>
          <cell r="F344"/>
          <cell r="G344"/>
          <cell r="H344"/>
          <cell r="I344">
            <v>6.1553830886719764E-3</v>
          </cell>
          <cell r="J344">
            <v>4.9530258686970505</v>
          </cell>
        </row>
        <row r="345">
          <cell r="B345" t="str">
            <v>ITOT-CHPHFC</v>
          </cell>
          <cell r="C345" t="str">
            <v>VAR_fin</v>
          </cell>
          <cell r="D345" t="str">
            <v>IH2</v>
          </cell>
          <cell r="E345"/>
          <cell r="F345"/>
          <cell r="G345"/>
          <cell r="H345"/>
          <cell r="I345">
            <v>1.1191605615767224E-2</v>
          </cell>
          <cell r="J345">
            <v>8.2550431144950878</v>
          </cell>
        </row>
        <row r="346">
          <cell r="B346" t="str">
            <v>ITOT-CHPHFC</v>
          </cell>
          <cell r="C346" t="str">
            <v>VAR_ncap</v>
          </cell>
          <cell r="D346" t="str">
            <v>-</v>
          </cell>
          <cell r="E346"/>
          <cell r="F346"/>
          <cell r="G346"/>
          <cell r="H346"/>
          <cell r="I346">
            <v>5.5971080827137403E-4</v>
          </cell>
          <cell r="J346">
            <v>0.184123813676281</v>
          </cell>
        </row>
        <row r="347">
          <cell r="B347" t="str">
            <v>ITOT-CHPHFC</v>
          </cell>
          <cell r="C347" t="str">
            <v>VAR_cap</v>
          </cell>
          <cell r="D347" t="str">
            <v>-</v>
          </cell>
          <cell r="E347"/>
          <cell r="F347"/>
          <cell r="G347"/>
          <cell r="H347"/>
          <cell r="I347">
            <v>1.4404716120832439E-3</v>
          </cell>
          <cell r="J347">
            <v>0.18490118204632081</v>
          </cell>
        </row>
        <row r="348">
          <cell r="B348" t="str">
            <v>G-INTC-TRA</v>
          </cell>
          <cell r="C348" t="str">
            <v>VAR_fout</v>
          </cell>
          <cell r="D348" t="str">
            <v>TRAN_ELC</v>
          </cell>
          <cell r="E348">
            <v>3.2311702725686828</v>
          </cell>
          <cell r="F348">
            <v>13.524436974212364</v>
          </cell>
          <cell r="G348">
            <v>18.179969070271333</v>
          </cell>
          <cell r="H348">
            <v>35.843366333516727</v>
          </cell>
          <cell r="I348">
            <v>35.885024146749437</v>
          </cell>
          <cell r="J348">
            <v>31.681165552225572</v>
          </cell>
        </row>
        <row r="349">
          <cell r="B349" t="str">
            <v>G-INTC-TRA</v>
          </cell>
          <cell r="C349" t="str">
            <v>VAR_fin</v>
          </cell>
          <cell r="D349" t="str">
            <v>ELC3</v>
          </cell>
          <cell r="E349">
            <v>2.9826187131403241</v>
          </cell>
          <cell r="F349">
            <v>13.482333955759007</v>
          </cell>
          <cell r="G349">
            <v>18.084048186755979</v>
          </cell>
          <cell r="H349">
            <v>25.196821878016717</v>
          </cell>
          <cell r="I349">
            <v>18.734093488376562</v>
          </cell>
          <cell r="J349">
            <v>14.537243686938956</v>
          </cell>
        </row>
        <row r="350">
          <cell r="B350" t="str">
            <v>G-INTC-TRA</v>
          </cell>
          <cell r="C350" t="str">
            <v>VAR_fin</v>
          </cell>
          <cell r="D350" t="str">
            <v>ELC5</v>
          </cell>
          <cell r="E350">
            <v>0.24855155942836032</v>
          </cell>
          <cell r="F350">
            <v>4.2103018453373893E-2</v>
          </cell>
          <cell r="G350">
            <v>9.5920883515348013E-2</v>
          </cell>
          <cell r="H350">
            <v>10.646544455500015</v>
          </cell>
          <cell r="I350">
            <v>17.150930658372889</v>
          </cell>
          <cell r="J350">
            <v>17.143921865286636</v>
          </cell>
        </row>
        <row r="351">
          <cell r="B351" t="str">
            <v>G-INTC-TRA</v>
          </cell>
          <cell r="C351" t="str">
            <v>VAR_ncap</v>
          </cell>
          <cell r="D351" t="str">
            <v>-</v>
          </cell>
          <cell r="E351">
            <v>1.8806987224589799E-5</v>
          </cell>
          <cell r="F351">
            <v>2.5085037907983299E-5</v>
          </cell>
          <cell r="G351">
            <v>0.33322360994033101</v>
          </cell>
          <cell r="H351">
            <v>4.1379949784824998E-5</v>
          </cell>
          <cell r="I351">
            <v>4.1338436348849104E-6</v>
          </cell>
          <cell r="J351">
            <v>5.4296623760204903E-6</v>
          </cell>
        </row>
        <row r="352">
          <cell r="B352" t="str">
            <v>G-INTC-TRA</v>
          </cell>
          <cell r="C352" t="str">
            <v>VAR_cap</v>
          </cell>
          <cell r="D352" t="str">
            <v>-</v>
          </cell>
          <cell r="E352">
            <v>0.86351880627381705</v>
          </cell>
          <cell r="F352">
            <v>0.86352492112432688</v>
          </cell>
          <cell r="G352">
            <v>0.8635626982989496</v>
          </cell>
          <cell r="H352">
            <v>1.1968090750465941</v>
          </cell>
          <cell r="I352">
            <v>1.1968377058005351</v>
          </cell>
          <cell r="J352">
            <v>1.1968438669985679</v>
          </cell>
        </row>
        <row r="353">
          <cell r="B353" t="str">
            <v>SCOM-SWHSTG-CHPBIO</v>
          </cell>
          <cell r="C353" t="str">
            <v>VAR_fout</v>
          </cell>
          <cell r="D353" t="str">
            <v>AUX_SCOM-CHPBIO_OUT</v>
          </cell>
          <cell r="E353">
            <v>2.1351804038582515E-5</v>
          </cell>
          <cell r="F353">
            <v>1.6074573366418681E-4</v>
          </cell>
          <cell r="G353">
            <v>7.7757397907886787</v>
          </cell>
          <cell r="H353">
            <v>8.8603161055753397</v>
          </cell>
          <cell r="I353">
            <v>22.136391809586947</v>
          </cell>
          <cell r="J353">
            <v>164.9545760755519</v>
          </cell>
        </row>
        <row r="354">
          <cell r="B354" t="str">
            <v>SCOM-SWHSTG-CHPBIO</v>
          </cell>
          <cell r="C354" t="str">
            <v>VAR_fout</v>
          </cell>
          <cell r="D354" t="str">
            <v>SCOM_LTH_CHPBIO</v>
          </cell>
          <cell r="E354">
            <v>2.135180403858256E-5</v>
          </cell>
          <cell r="F354">
            <v>1.6087712225875273E-4</v>
          </cell>
          <cell r="G354">
            <v>7.7856704929480491</v>
          </cell>
          <cell r="H354">
            <v>8.8603161055753272</v>
          </cell>
          <cell r="I354">
            <v>22.136391809586932</v>
          </cell>
          <cell r="J354">
            <v>164.9545760755519</v>
          </cell>
        </row>
        <row r="355">
          <cell r="B355" t="str">
            <v>SCOM-SWHSTG-CHPBIO</v>
          </cell>
          <cell r="C355" t="str">
            <v>VAR_fin</v>
          </cell>
          <cell r="D355" t="str">
            <v>SCOM_LTH_CHPBIO</v>
          </cell>
          <cell r="E355">
            <v>3.4774123570064692E-5</v>
          </cell>
          <cell r="F355">
            <v>1.8817682679666216E-4</v>
          </cell>
          <cell r="G355">
            <v>9.2686286608265416</v>
          </cell>
          <cell r="H355">
            <v>10.184265081616116</v>
          </cell>
          <cell r="I355">
            <v>23.802570053749911</v>
          </cell>
          <cell r="J355">
            <v>166.62079049305007</v>
          </cell>
        </row>
        <row r="356">
          <cell r="B356" t="str">
            <v>SCOM-SWHSTG-CHPBIO</v>
          </cell>
          <cell r="C356" t="str">
            <v>VAR_fin</v>
          </cell>
          <cell r="D356" t="str">
            <v>AUX_SCOM-CHPBIO_IN</v>
          </cell>
          <cell r="E356">
            <v>3.4774123570064692E-5</v>
          </cell>
          <cell r="F356">
            <v>1.8817682679666216E-4</v>
          </cell>
          <cell r="G356">
            <v>9.2686286608265416</v>
          </cell>
          <cell r="H356">
            <v>10.184265081616116</v>
          </cell>
          <cell r="I356">
            <v>23.802570053749911</v>
          </cell>
          <cell r="J356">
            <v>166.62079049305007</v>
          </cell>
        </row>
        <row r="357">
          <cell r="B357" t="str">
            <v>SCOM-SWHSTG-CHPBIO</v>
          </cell>
          <cell r="C357" t="str">
            <v>VAR_ncap</v>
          </cell>
          <cell r="D357" t="str">
            <v>-</v>
          </cell>
          <cell r="E357">
            <v>3.2696516643103503E-2</v>
          </cell>
          <cell r="F357">
            <v>4.9162066153499596E-4</v>
          </cell>
          <cell r="G357">
            <v>0.456669795759787</v>
          </cell>
          <cell r="H357">
            <v>6.6439732757066605E-2</v>
          </cell>
          <cell r="I357">
            <v>1.0503962854839599</v>
          </cell>
          <cell r="J357">
            <v>9.4010939434127998</v>
          </cell>
        </row>
        <row r="358">
          <cell r="B358" t="str">
            <v>SCOM-SWHSTG-CHPBIO</v>
          </cell>
          <cell r="C358" t="str">
            <v>VAR_cap</v>
          </cell>
          <cell r="D358" t="str">
            <v>-</v>
          </cell>
          <cell r="E358">
            <v>3.2696516643103503E-2</v>
          </cell>
          <cell r="F358">
            <v>3.3146072270278833E-2</v>
          </cell>
          <cell r="G358">
            <v>0.4896300267245195</v>
          </cell>
          <cell r="H358">
            <v>0.55577467380286316</v>
          </cell>
          <cell r="I358">
            <v>1.3814748377518986</v>
          </cell>
          <cell r="J358">
            <v>10.250050054210911</v>
          </cell>
        </row>
        <row r="359">
          <cell r="B359" t="str">
            <v>SCOM-SWHSTG-CHPHFC</v>
          </cell>
          <cell r="C359" t="str">
            <v>VAR_fout</v>
          </cell>
          <cell r="D359" t="str">
            <v>AUX_SCOM-CHPHFC_OUT</v>
          </cell>
          <cell r="E359">
            <v>2.1808758641262923E-4</v>
          </cell>
          <cell r="F359">
            <v>1.6585332183696505E-4</v>
          </cell>
          <cell r="G359">
            <v>1.6940732159202105E-4</v>
          </cell>
          <cell r="H359">
            <v>9.3760538965596604E-3</v>
          </cell>
          <cell r="I359">
            <v>3.8491875482750786E-2</v>
          </cell>
          <cell r="J359">
            <v>1.7850011479746777</v>
          </cell>
        </row>
        <row r="360">
          <cell r="B360" t="str">
            <v>SCOM-SWHSTG-CHPHFC</v>
          </cell>
          <cell r="C360" t="str">
            <v>VAR_fout</v>
          </cell>
          <cell r="D360" t="str">
            <v>SCOM_LTH_CHPHFC</v>
          </cell>
          <cell r="E360">
            <v>2.180875864126295E-4</v>
          </cell>
          <cell r="F360">
            <v>1.659888852162447E-4</v>
          </cell>
          <cell r="G360">
            <v>1.6962367832457819E-4</v>
          </cell>
          <cell r="H360">
            <v>9.3760538965596447E-3</v>
          </cell>
          <cell r="I360">
            <v>3.8491875482750758E-2</v>
          </cell>
          <cell r="J360">
            <v>1.7850011479746777</v>
          </cell>
        </row>
        <row r="361">
          <cell r="B361" t="str">
            <v>SCOM-SWHSTG-CHPHFC</v>
          </cell>
          <cell r="C361" t="str">
            <v>VAR_fin</v>
          </cell>
          <cell r="D361" t="str">
            <v>SCOM_LTH_CHPHFC</v>
          </cell>
          <cell r="E361">
            <v>2.180875864126295E-4</v>
          </cell>
          <cell r="F361">
            <v>1.659888852162447E-4</v>
          </cell>
          <cell r="G361">
            <v>1.6962367832457819E-4</v>
          </cell>
          <cell r="H361">
            <v>1.076713082306067E-2</v>
          </cell>
          <cell r="I361">
            <v>4.1391888645193171E-2</v>
          </cell>
          <cell r="J361">
            <v>1.8030351764131971</v>
          </cell>
        </row>
        <row r="362">
          <cell r="B362" t="str">
            <v>SCOM-SWHSTG-CHPHFC</v>
          </cell>
          <cell r="C362" t="str">
            <v>VAR_fin</v>
          </cell>
          <cell r="D362" t="str">
            <v>AUX_SCOM-CHPHFC_IN</v>
          </cell>
          <cell r="E362">
            <v>2.180875864126295E-4</v>
          </cell>
          <cell r="F362">
            <v>1.659888852162447E-4</v>
          </cell>
          <cell r="G362">
            <v>1.6962367832457819E-4</v>
          </cell>
          <cell r="H362">
            <v>1.076713082306067E-2</v>
          </cell>
          <cell r="I362">
            <v>4.1391888645193171E-2</v>
          </cell>
          <cell r="J362">
            <v>1.8030351764131971</v>
          </cell>
        </row>
        <row r="363">
          <cell r="B363" t="str">
            <v>SCOM-SWHSTG-CHPHFC</v>
          </cell>
          <cell r="C363" t="str">
            <v>VAR_ncap</v>
          </cell>
          <cell r="D363" t="str">
            <v>-</v>
          </cell>
          <cell r="E363">
            <v>1.362307923273E-2</v>
          </cell>
          <cell r="F363">
            <v>4.3541563547616602E-4</v>
          </cell>
          <cell r="G363">
            <v>6.3992629065872904E-4</v>
          </cell>
          <cell r="H363">
            <v>5.5950426814445505E-4</v>
          </cell>
          <cell r="I363">
            <v>1.1515589546810599E-3</v>
          </cell>
          <cell r="J363">
            <v>0.102156194040285</v>
          </cell>
        </row>
        <row r="364">
          <cell r="B364" t="str">
            <v>SCOM-SWHSTG-CHPHFC</v>
          </cell>
          <cell r="C364" t="str">
            <v>VAR_cap</v>
          </cell>
          <cell r="D364" t="str">
            <v>-</v>
          </cell>
          <cell r="E364">
            <v>1.362307923273E-2</v>
          </cell>
          <cell r="F364">
            <v>1.401614067226299E-2</v>
          </cell>
          <cell r="G364">
            <v>1.454261224278483E-2</v>
          </cell>
          <cell r="H364">
            <v>1.4862383113167758E-2</v>
          </cell>
          <cell r="I364">
            <v>2.0607184938335077E-2</v>
          </cell>
          <cell r="J364">
            <v>0.1109933163343281</v>
          </cell>
        </row>
        <row r="365">
          <cell r="B365" t="str">
            <v>D-IHFO</v>
          </cell>
          <cell r="C365" t="str">
            <v>VAR_fout</v>
          </cell>
          <cell r="D365" t="str">
            <v>CO2</v>
          </cell>
          <cell r="E365">
            <v>213.78133963827</v>
          </cell>
          <cell r="F365">
            <v>99.122868260529501</v>
          </cell>
          <cell r="G365">
            <v>1.6655808705970101</v>
          </cell>
          <cell r="H365">
            <v>5.7267566532587699E-4</v>
          </cell>
          <cell r="I365">
            <v>4.7740598343978799E-2</v>
          </cell>
          <cell r="J365"/>
        </row>
        <row r="366">
          <cell r="B366" t="str">
            <v>D-IHFO</v>
          </cell>
          <cell r="C366" t="str">
            <v>VAR_fout</v>
          </cell>
          <cell r="D366" t="str">
            <v>IHFO</v>
          </cell>
          <cell r="E366">
            <v>2.7300122354093239</v>
          </cell>
          <cell r="F366">
            <v>1.2658104005615924</v>
          </cell>
          <cell r="G366">
            <v>2.1269658818152477E-2</v>
          </cell>
          <cell r="H366">
            <v>7.3131339522252191E-6</v>
          </cell>
          <cell r="I366">
            <v>6.0965291837610435E-4</v>
          </cell>
          <cell r="J366"/>
        </row>
        <row r="367">
          <cell r="B367" t="str">
            <v>D-IHFO</v>
          </cell>
          <cell r="C367" t="str">
            <v>VAR_fin</v>
          </cell>
          <cell r="D367" t="str">
            <v>HFO</v>
          </cell>
          <cell r="E367">
            <v>2.7763810342632405</v>
          </cell>
          <cell r="F367">
            <v>1.2873099774094718</v>
          </cell>
          <cell r="G367">
            <v>2.1630920397363834E-2</v>
          </cell>
          <cell r="H367">
            <v>7.4373463029334637E-6</v>
          </cell>
          <cell r="I367">
            <v>6.2000777070102351E-4</v>
          </cell>
          <cell r="J367"/>
        </row>
        <row r="368">
          <cell r="B368" t="str">
            <v>RHNM-CHPNGA</v>
          </cell>
          <cell r="C368" t="str">
            <v>VAR_fout</v>
          </cell>
          <cell r="D368" t="str">
            <v>CO2_R</v>
          </cell>
          <cell r="E368"/>
          <cell r="F368">
            <v>0.37214248895430002</v>
          </cell>
          <cell r="G368">
            <v>4.3139000991964496</v>
          </cell>
          <cell r="H368">
            <v>2.7452599077871401E-3</v>
          </cell>
          <cell r="I368">
            <v>81.903850872544893</v>
          </cell>
          <cell r="J368">
            <v>56.877234057232101</v>
          </cell>
        </row>
        <row r="369">
          <cell r="B369" t="str">
            <v>RHNM-CHPNGA</v>
          </cell>
          <cell r="C369" t="str">
            <v>VAR_fout</v>
          </cell>
          <cell r="D369" t="str">
            <v>RHNM_NKEV_GAS_ELC_CHP</v>
          </cell>
          <cell r="E369"/>
          <cell r="F369">
            <v>1.4760352230426784E-3</v>
          </cell>
          <cell r="G369">
            <v>1.4949481520690476E-2</v>
          </cell>
          <cell r="H369">
            <v>1.0286905510918334E-5</v>
          </cell>
          <cell r="I369">
            <v>0.44021950623888634</v>
          </cell>
          <cell r="J369">
            <v>0.3120575055337767</v>
          </cell>
        </row>
        <row r="370">
          <cell r="B370" t="str">
            <v>RHNM-CHPNGA</v>
          </cell>
          <cell r="C370" t="str">
            <v>VAR_fout</v>
          </cell>
          <cell r="D370" t="str">
            <v>RHNM_LTH_CHPNGA</v>
          </cell>
          <cell r="E370"/>
          <cell r="F370">
            <v>3.1753419809731954E-3</v>
          </cell>
          <cell r="G370">
            <v>3.1686027499026742E-2</v>
          </cell>
          <cell r="H370">
            <v>2.1259604722564573E-5</v>
          </cell>
          <cell r="I370">
            <v>0.88765572569480367</v>
          </cell>
          <cell r="J370">
            <v>0.61404863992130254</v>
          </cell>
        </row>
        <row r="371">
          <cell r="B371" t="str">
            <v>RHNM-CHPNGA</v>
          </cell>
          <cell r="C371" t="str">
            <v>VAR_fin</v>
          </cell>
          <cell r="D371" t="str">
            <v>RNGA</v>
          </cell>
          <cell r="E371"/>
          <cell r="F371">
            <v>6.598271080749985E-3</v>
          </cell>
          <cell r="G371">
            <v>7.6487590411284459E-2</v>
          </cell>
          <cell r="H371">
            <v>4.8674821060055803E-5</v>
          </cell>
          <cell r="I371">
            <v>1.4521959374564704</v>
          </cell>
          <cell r="J371">
            <v>1.0084615967594344</v>
          </cell>
        </row>
        <row r="372">
          <cell r="B372" t="str">
            <v>RHNM-CHPNGA</v>
          </cell>
          <cell r="C372" t="str">
            <v>VAR_ncap</v>
          </cell>
          <cell r="D372" t="str">
            <v>-</v>
          </cell>
          <cell r="E372"/>
          <cell r="F372">
            <v>4.3782536535560198E-4</v>
          </cell>
          <cell r="G372">
            <v>6.7186686674037795E-4</v>
          </cell>
          <cell r="H372">
            <v>9.2578333346399098E-7</v>
          </cell>
          <cell r="I372">
            <v>3.2044750981520403E-2</v>
          </cell>
          <cell r="J372">
            <v>6.6570592593239495E-7</v>
          </cell>
        </row>
        <row r="373">
          <cell r="B373" t="str">
            <v>RHNM-CHPNGA</v>
          </cell>
          <cell r="C373" t="str">
            <v>VAR_cap</v>
          </cell>
          <cell r="D373" t="str">
            <v>-</v>
          </cell>
          <cell r="E373"/>
          <cell r="F373">
            <v>4.3782536535560198E-4</v>
          </cell>
          <cell r="G373">
            <v>1.1094000396032159E-3</v>
          </cell>
          <cell r="H373">
            <v>2.6176611778098817E-6</v>
          </cell>
          <cell r="I373">
            <v>3.2683739362124931E-2</v>
          </cell>
          <cell r="J373">
            <v>2.4359820407592239E-2</v>
          </cell>
        </row>
        <row r="374">
          <cell r="B374" t="str">
            <v>G-INTC-EXP00-DE</v>
          </cell>
          <cell r="C374" t="str">
            <v>VAR_fout</v>
          </cell>
          <cell r="D374" t="str">
            <v>ELC_E-DE</v>
          </cell>
          <cell r="E374">
            <v>26.492987657388174</v>
          </cell>
          <cell r="F374">
            <v>5.1485964112395772E-3</v>
          </cell>
          <cell r="G374">
            <v>5.6261950106243838E-3</v>
          </cell>
          <cell r="H374">
            <v>3.024632498857168E-3</v>
          </cell>
          <cell r="I374">
            <v>8.5108783313160973E-3</v>
          </cell>
          <cell r="J374">
            <v>3.099915824837928E-3</v>
          </cell>
        </row>
        <row r="375">
          <cell r="B375" t="str">
            <v>G-INTC-EXP00-DE</v>
          </cell>
          <cell r="C375" t="str">
            <v>VAR_fin</v>
          </cell>
          <cell r="D375" t="str">
            <v>ELC</v>
          </cell>
          <cell r="E375">
            <v>26.492987657388174</v>
          </cell>
          <cell r="F375">
            <v>5.1485964112395772E-3</v>
          </cell>
          <cell r="G375">
            <v>5.6261950106243838E-3</v>
          </cell>
          <cell r="H375">
            <v>3.024632498857168E-3</v>
          </cell>
          <cell r="I375">
            <v>8.5108783313160973E-3</v>
          </cell>
          <cell r="J375">
            <v>3.099915824837928E-3</v>
          </cell>
        </row>
        <row r="376">
          <cell r="B376" t="str">
            <v>G-INTC-EXP00-DE</v>
          </cell>
          <cell r="C376" t="str">
            <v>VAR_ncap</v>
          </cell>
          <cell r="D376" t="str">
            <v>-</v>
          </cell>
          <cell r="E376">
            <v>1.19736093426607E-5</v>
          </cell>
          <cell r="F376">
            <v>1.04858035664051E-5</v>
          </cell>
          <cell r="G376">
            <v>1.48383329442996E-5</v>
          </cell>
          <cell r="H376">
            <v>1.96971895911483E-5</v>
          </cell>
          <cell r="I376">
            <v>3.4516746212458699E-5</v>
          </cell>
          <cell r="J376">
            <v>4.1440363533020198E-5</v>
          </cell>
        </row>
        <row r="377">
          <cell r="B377" t="str">
            <v>G-INTC-EXP00-DE</v>
          </cell>
          <cell r="C377" t="str">
            <v>VAR_cap</v>
          </cell>
          <cell r="D377" t="str">
            <v>-</v>
          </cell>
          <cell r="E377">
            <v>4.0353088740840004</v>
          </cell>
          <cell r="F377">
            <v>6.2328532985596041E-3</v>
          </cell>
          <cell r="G377">
            <v>6.087729299059319E-3</v>
          </cell>
          <cell r="H377">
            <v>5.9429406297182297E-3</v>
          </cell>
          <cell r="I377">
            <v>5.9101845682034693E-3</v>
          </cell>
          <cell r="J377">
            <v>3.0269325152394444E-3</v>
          </cell>
        </row>
        <row r="378">
          <cell r="B378" t="str">
            <v>CEN-EBAT</v>
          </cell>
          <cell r="C378" t="str">
            <v>VAR_fout</v>
          </cell>
          <cell r="D378" t="str">
            <v>ELC13</v>
          </cell>
          <cell r="E378">
            <v>3.7206558911543973E-2</v>
          </cell>
          <cell r="F378">
            <v>3.2840883030000878E-2</v>
          </cell>
          <cell r="G378">
            <v>3.7213135391045676E-2</v>
          </cell>
          <cell r="H378">
            <v>4.2294509329925522E-3</v>
          </cell>
          <cell r="I378">
            <v>4.1832443088001693E-2</v>
          </cell>
          <cell r="J378">
            <v>0.27616780198838203</v>
          </cell>
        </row>
        <row r="379">
          <cell r="B379" t="str">
            <v>CEN-EBAT</v>
          </cell>
          <cell r="C379" t="str">
            <v>VAR_fout</v>
          </cell>
          <cell r="D379" t="str">
            <v>AUX_CEN-EBAT_OUT</v>
          </cell>
          <cell r="E379">
            <v>3.7206558911543848E-2</v>
          </cell>
          <cell r="F379">
            <v>3.2840883030000781E-2</v>
          </cell>
          <cell r="G379">
            <v>3.7213135391045558E-2</v>
          </cell>
          <cell r="H379">
            <v>4.2294509329925409E-3</v>
          </cell>
          <cell r="I379">
            <v>4.1832443088001561E-2</v>
          </cell>
          <cell r="J379">
            <v>0.2761678019883812</v>
          </cell>
        </row>
        <row r="380">
          <cell r="B380" t="str">
            <v>CEN-EBAT</v>
          </cell>
          <cell r="C380" t="str">
            <v>VAR_fin</v>
          </cell>
          <cell r="D380" t="str">
            <v>AUX_CEN-EBAT_IN</v>
          </cell>
          <cell r="E380">
            <v>4.2964544817360929E-2</v>
          </cell>
          <cell r="F380">
            <v>3.7913277250744927E-2</v>
          </cell>
          <cell r="G380">
            <v>4.2924755316471906E-2</v>
          </cell>
          <cell r="H380">
            <v>4.8848261339557789E-3</v>
          </cell>
          <cell r="I380">
            <v>4.8253057458014434E-2</v>
          </cell>
          <cell r="J380">
            <v>0.31852007867075249</v>
          </cell>
        </row>
        <row r="381">
          <cell r="B381" t="str">
            <v>CEN-EBAT</v>
          </cell>
          <cell r="C381" t="str">
            <v>VAR_fin</v>
          </cell>
          <cell r="D381" t="str">
            <v>ELC13</v>
          </cell>
          <cell r="E381">
            <v>4.2964544817360929E-2</v>
          </cell>
          <cell r="F381">
            <v>3.7913277250744927E-2</v>
          </cell>
          <cell r="G381">
            <v>4.2924755316471906E-2</v>
          </cell>
          <cell r="H381">
            <v>4.8848261339557789E-3</v>
          </cell>
          <cell r="I381">
            <v>4.8253057458014434E-2</v>
          </cell>
          <cell r="J381">
            <v>0.31852007867075249</v>
          </cell>
        </row>
        <row r="382">
          <cell r="B382" t="str">
            <v>CEN-EBAT</v>
          </cell>
          <cell r="C382" t="str">
            <v>VAR_ncap</v>
          </cell>
          <cell r="D382" t="str">
            <v>-</v>
          </cell>
          <cell r="E382">
            <v>6.3974375621535101E-3</v>
          </cell>
          <cell r="F382">
            <v>9.6068699816634095E-6</v>
          </cell>
          <cell r="G382">
            <v>3.1531083851863197E-5</v>
          </cell>
          <cell r="H382">
            <v>1.0676594470773E-5</v>
          </cell>
          <cell r="I382">
            <v>3.6950170987315499E-3</v>
          </cell>
          <cell r="J382">
            <v>0.861017055469671</v>
          </cell>
        </row>
        <row r="383">
          <cell r="B383" t="str">
            <v>CEN-EBAT</v>
          </cell>
          <cell r="C383" t="str">
            <v>VAR_cap</v>
          </cell>
          <cell r="D383" t="str">
            <v>-</v>
          </cell>
          <cell r="E383">
            <v>6.3974375621535101E-3</v>
          </cell>
          <cell r="F383">
            <v>6.4014427519739963E-3</v>
          </cell>
          <cell r="G383">
            <v>6.4283905461483201E-3</v>
          </cell>
          <cell r="H383">
            <v>4.681036908063485E-3</v>
          </cell>
          <cell r="I383">
            <v>1.0263689700674043E-2</v>
          </cell>
          <cell r="J383">
            <v>0.86401581077771239</v>
          </cell>
        </row>
        <row r="384">
          <cell r="B384" t="str">
            <v>ESOL-PV</v>
          </cell>
          <cell r="C384" t="str">
            <v>VAR_fout</v>
          </cell>
          <cell r="D384" t="str">
            <v>ELC35</v>
          </cell>
          <cell r="E384"/>
          <cell r="F384"/>
          <cell r="G384">
            <v>5.3129421494185695E-2</v>
          </cell>
          <cell r="H384">
            <v>5.8858638120668057E-2</v>
          </cell>
          <cell r="I384">
            <v>1.421044805535568</v>
          </cell>
          <cell r="J384">
            <v>5.8669324704264652</v>
          </cell>
        </row>
        <row r="385">
          <cell r="B385" t="str">
            <v>ESOL-PV</v>
          </cell>
          <cell r="C385" t="str">
            <v>VAR_fin</v>
          </cell>
          <cell r="D385" t="str">
            <v>SOL</v>
          </cell>
          <cell r="E385"/>
          <cell r="F385"/>
          <cell r="G385">
            <v>5.3129421494185695E-2</v>
          </cell>
          <cell r="H385">
            <v>5.8858638120668057E-2</v>
          </cell>
          <cell r="I385">
            <v>1.421044805535568</v>
          </cell>
          <cell r="J385">
            <v>5.8669324704264652</v>
          </cell>
        </row>
        <row r="386">
          <cell r="B386" t="str">
            <v>ESOL-PV</v>
          </cell>
          <cell r="C386" t="str">
            <v>VAR_fin</v>
          </cell>
          <cell r="D386" t="str">
            <v>SOLPVC</v>
          </cell>
          <cell r="E386"/>
          <cell r="F386"/>
          <cell r="G386">
            <v>5.3129421494185702E-2</v>
          </cell>
          <cell r="H386">
            <v>5.8858638120668098E-2</v>
          </cell>
          <cell r="I386">
            <v>1.42104480553557</v>
          </cell>
          <cell r="J386">
            <v>5.8669324704264598</v>
          </cell>
        </row>
        <row r="387">
          <cell r="B387" t="str">
            <v>ESOL-PV</v>
          </cell>
          <cell r="C387" t="str">
            <v>VAR_ncap</v>
          </cell>
          <cell r="D387" t="str">
            <v>-</v>
          </cell>
          <cell r="E387"/>
          <cell r="F387"/>
          <cell r="G387">
            <v>1.6951471436908401E-2</v>
          </cell>
          <cell r="H387">
            <v>1.4871028061435E-5</v>
          </cell>
          <cell r="I387">
            <v>0.392664693849821</v>
          </cell>
          <cell r="J387">
            <v>1.29858976134774</v>
          </cell>
        </row>
        <row r="388">
          <cell r="B388" t="str">
            <v>ESOL-PV</v>
          </cell>
          <cell r="C388" t="str">
            <v>VAR_cap</v>
          </cell>
          <cell r="D388" t="str">
            <v>-</v>
          </cell>
          <cell r="E388"/>
          <cell r="F388"/>
          <cell r="G388">
            <v>1.6951471436908401E-2</v>
          </cell>
          <cell r="H388">
            <v>1.6966342464969801E-2</v>
          </cell>
          <cell r="I388">
            <v>0.40964584496450102</v>
          </cell>
          <cell r="J388">
            <v>1.6912701226251801</v>
          </cell>
        </row>
        <row r="389">
          <cell r="B389" t="str">
            <v>RHEM-SHSTG-CHPNGA</v>
          </cell>
          <cell r="C389" t="str">
            <v>VAR_fout</v>
          </cell>
          <cell r="D389" t="str">
            <v>RHEM_LTH_CHPNGA</v>
          </cell>
          <cell r="E389">
            <v>0.13089122855826638</v>
          </cell>
          <cell r="F389">
            <v>9.8113685641225412E-4</v>
          </cell>
          <cell r="G389">
            <v>1.457420278641566E-2</v>
          </cell>
          <cell r="H389">
            <v>3.7204245676750576E-4</v>
          </cell>
          <cell r="I389">
            <v>0.11584565337997292</v>
          </cell>
          <cell r="J389">
            <v>2.1002835973053909E-2</v>
          </cell>
        </row>
        <row r="390">
          <cell r="B390" t="str">
            <v>RHEM-SHSTG-CHPNGA</v>
          </cell>
          <cell r="C390" t="str">
            <v>VAR_fout</v>
          </cell>
          <cell r="D390" t="str">
            <v>AUX_REM-CHPNGA_OUT</v>
          </cell>
          <cell r="E390">
            <v>0.13089122855826671</v>
          </cell>
          <cell r="F390">
            <v>9.8048320094495977E-4</v>
          </cell>
          <cell r="G390">
            <v>1.455903712274614E-2</v>
          </cell>
          <cell r="H390">
            <v>3.7204245676750576E-4</v>
          </cell>
          <cell r="I390">
            <v>0.11584565337997335</v>
          </cell>
          <cell r="J390">
            <v>2.1002835973053934E-2</v>
          </cell>
        </row>
        <row r="391">
          <cell r="B391" t="str">
            <v>RHEM-SHSTG-CHPNGA</v>
          </cell>
          <cell r="C391" t="str">
            <v>VAR_fin</v>
          </cell>
          <cell r="D391" t="str">
            <v>AUX_REM-CHPNGA_IN</v>
          </cell>
          <cell r="E391">
            <v>0.17445806659345298</v>
          </cell>
          <cell r="F391">
            <v>1.2968125153260115E-3</v>
          </cell>
          <cell r="G391">
            <v>1.8813836823073155E-2</v>
          </cell>
          <cell r="H391">
            <v>4.7356809152342133E-4</v>
          </cell>
          <cell r="I391">
            <v>0.13629781748845574</v>
          </cell>
          <cell r="J391">
            <v>2.3344898287474949E-2</v>
          </cell>
        </row>
        <row r="392">
          <cell r="B392" t="str">
            <v>RHEM-SHSTG-CHPNGA</v>
          </cell>
          <cell r="C392" t="str">
            <v>VAR_fin</v>
          </cell>
          <cell r="D392" t="str">
            <v>RHEM_LTH_CHPNGA</v>
          </cell>
          <cell r="E392">
            <v>0.17445806659345298</v>
          </cell>
          <cell r="F392">
            <v>1.2968125153260115E-3</v>
          </cell>
          <cell r="G392">
            <v>1.8813836823073155E-2</v>
          </cell>
          <cell r="H392">
            <v>4.7356809152342133E-4</v>
          </cell>
          <cell r="I392">
            <v>0.13629781748845574</v>
          </cell>
          <cell r="J392">
            <v>2.3344898287474949E-2</v>
          </cell>
        </row>
        <row r="393">
          <cell r="B393" t="str">
            <v>RHEM-SHSTG-CHPNGA</v>
          </cell>
          <cell r="C393" t="str">
            <v>VAR_ncap</v>
          </cell>
          <cell r="D393" t="str">
            <v>-</v>
          </cell>
          <cell r="E393">
            <v>3.8474538760266797E-2</v>
          </cell>
          <cell r="F393">
            <v>6.6212672886745605E-4</v>
          </cell>
          <cell r="G393">
            <v>5.6798263835552303E-4</v>
          </cell>
          <cell r="H393">
            <v>3.3209754413784497E-4</v>
          </cell>
          <cell r="I393">
            <v>3.4516486978621902E-3</v>
          </cell>
          <cell r="J393">
            <v>4.52986692390475E-3</v>
          </cell>
        </row>
        <row r="394">
          <cell r="B394" t="str">
            <v>RHEM-SHSTG-CHPNGA</v>
          </cell>
          <cell r="C394" t="str">
            <v>VAR_cap</v>
          </cell>
          <cell r="D394" t="str">
            <v>-</v>
          </cell>
          <cell r="E394">
            <v>3.8474538760266797E-2</v>
          </cell>
          <cell r="F394">
            <v>3.9070924085178559E-2</v>
          </cell>
          <cell r="G394">
            <v>3.9429801830261881E-2</v>
          </cell>
          <cell r="H394">
            <v>3.9137057135020463E-2</v>
          </cell>
          <cell r="I394">
            <v>3.3104263234174362E-2</v>
          </cell>
          <cell r="J394">
            <v>1.9355530293722265E-2</v>
          </cell>
        </row>
        <row r="395">
          <cell r="B395" t="str">
            <v>RHNS-ESOLPV</v>
          </cell>
          <cell r="C395" t="str">
            <v>VAR_fout</v>
          </cell>
          <cell r="D395" t="str">
            <v>RHNS_SOL_ELC</v>
          </cell>
          <cell r="E395"/>
          <cell r="F395">
            <v>3.1366302618720892E-5</v>
          </cell>
          <cell r="G395">
            <v>1.9108700413662225E-2</v>
          </cell>
          <cell r="H395">
            <v>2.1175494130066776E-2</v>
          </cell>
          <cell r="I395">
            <v>2.4114250998616988E-2</v>
          </cell>
          <cell r="J395">
            <v>3.5704428871601072E-2</v>
          </cell>
        </row>
        <row r="396">
          <cell r="B396" t="str">
            <v>RHNS-ESOLPV</v>
          </cell>
          <cell r="C396" t="str">
            <v>VAR_fin</v>
          </cell>
          <cell r="D396" t="str">
            <v>SOL</v>
          </cell>
          <cell r="E396"/>
          <cell r="F396">
            <v>3.1366302618720892E-5</v>
          </cell>
          <cell r="G396">
            <v>1.9108700413662225E-2</v>
          </cell>
          <cell r="H396">
            <v>2.1175494130066776E-2</v>
          </cell>
          <cell r="I396">
            <v>2.4114250998616988E-2</v>
          </cell>
          <cell r="J396">
            <v>3.5704428871601072E-2</v>
          </cell>
        </row>
        <row r="397">
          <cell r="B397" t="str">
            <v>RHNS-ESOLPV</v>
          </cell>
          <cell r="C397" t="str">
            <v>VAR_fin</v>
          </cell>
          <cell r="D397" t="str">
            <v>SOLPVC</v>
          </cell>
          <cell r="E397"/>
          <cell r="F397">
            <v>3.1366302618720899E-5</v>
          </cell>
          <cell r="G397">
            <v>1.9108700413662201E-2</v>
          </cell>
          <cell r="H397">
            <v>2.1175494130066801E-2</v>
          </cell>
          <cell r="I397">
            <v>2.4114250998616998E-2</v>
          </cell>
          <cell r="J397">
            <v>3.57044288716011E-2</v>
          </cell>
        </row>
        <row r="398">
          <cell r="B398" t="str">
            <v>RHNS-ESOLPV</v>
          </cell>
          <cell r="C398" t="str">
            <v>VAR_ncap</v>
          </cell>
          <cell r="D398" t="str">
            <v>-</v>
          </cell>
          <cell r="E398"/>
          <cell r="F398">
            <v>1.0740486753765501E-5</v>
          </cell>
          <cell r="G398">
            <v>6.0865133316242203E-3</v>
          </cell>
          <cell r="H398">
            <v>8.2307818144284898E-6</v>
          </cell>
          <cell r="I398">
            <v>4.9329860100661099E-4</v>
          </cell>
          <cell r="J398">
            <v>9.5113912676825403E-3</v>
          </cell>
        </row>
        <row r="399">
          <cell r="B399" t="str">
            <v>RHNS-ESOLPV</v>
          </cell>
          <cell r="C399" t="str">
            <v>VAR_cap</v>
          </cell>
          <cell r="D399" t="str">
            <v>-</v>
          </cell>
          <cell r="E399"/>
          <cell r="F399">
            <v>1.0740486753765501E-5</v>
          </cell>
          <cell r="G399">
            <v>6.0972538183779804E-3</v>
          </cell>
          <cell r="H399">
            <v>6.1054846001924101E-3</v>
          </cell>
          <cell r="I399">
            <v>6.9532283067634797E-3</v>
          </cell>
          <cell r="J399">
            <v>1.02933943012983E-2</v>
          </cell>
        </row>
        <row r="400">
          <cell r="B400" t="str">
            <v>RHSA-WHSTG-CHP</v>
          </cell>
          <cell r="C400" t="str">
            <v>VAR_fout</v>
          </cell>
          <cell r="D400" t="str">
            <v>AUX_RHSA-CHP_OUT</v>
          </cell>
          <cell r="E400">
            <v>0.66242687936697642</v>
          </cell>
          <cell r="F400">
            <v>4.389488789404072E-3</v>
          </cell>
          <cell r="G400">
            <v>2.3337994878052461E-2</v>
          </cell>
          <cell r="H400">
            <v>4.5021943367195281E-4</v>
          </cell>
          <cell r="I400">
            <v>0.26074712850374926</v>
          </cell>
          <cell r="J400">
            <v>4.6470162997498253E-2</v>
          </cell>
        </row>
        <row r="401">
          <cell r="B401" t="str">
            <v>RHSA-WHSTG-CHP</v>
          </cell>
          <cell r="C401" t="str">
            <v>VAR_fout</v>
          </cell>
          <cell r="D401" t="str">
            <v>RHSA_LTH</v>
          </cell>
          <cell r="E401">
            <v>0.66242687936697453</v>
          </cell>
          <cell r="F401">
            <v>4.3924151152636651E-3</v>
          </cell>
          <cell r="G401">
            <v>2.3362305289383722E-2</v>
          </cell>
          <cell r="H401">
            <v>4.5021943367195281E-4</v>
          </cell>
          <cell r="I401">
            <v>0.26074712850374837</v>
          </cell>
          <cell r="J401">
            <v>4.6470162997498191E-2</v>
          </cell>
        </row>
        <row r="402">
          <cell r="B402" t="str">
            <v>RHSA-WHSTG-CHP</v>
          </cell>
          <cell r="C402" t="str">
            <v>VAR_fin</v>
          </cell>
          <cell r="D402" t="str">
            <v>RHSA_LTH</v>
          </cell>
          <cell r="E402">
            <v>0.88318675823073856</v>
          </cell>
          <cell r="F402">
            <v>5.8138502204799674E-3</v>
          </cell>
          <cell r="G402">
            <v>3.0153323923759821E-2</v>
          </cell>
          <cell r="H402">
            <v>5.7128932616155458E-4</v>
          </cell>
          <cell r="I402">
            <v>0.30677002020939398</v>
          </cell>
          <cell r="J402">
            <v>5.1641928314623053E-2</v>
          </cell>
        </row>
        <row r="403">
          <cell r="B403" t="str">
            <v>RHSA-WHSTG-CHP</v>
          </cell>
          <cell r="C403" t="str">
            <v>VAR_fin</v>
          </cell>
          <cell r="D403" t="str">
            <v>AUX_RHSA-CHP_IN</v>
          </cell>
          <cell r="E403">
            <v>0.88318675823073856</v>
          </cell>
          <cell r="F403">
            <v>5.8138502204799674E-3</v>
          </cell>
          <cell r="G403">
            <v>3.0153323923759821E-2</v>
          </cell>
          <cell r="H403">
            <v>5.7128932616155458E-4</v>
          </cell>
          <cell r="I403">
            <v>0.30677002020939398</v>
          </cell>
          <cell r="J403">
            <v>5.1641928314623053E-2</v>
          </cell>
        </row>
        <row r="404">
          <cell r="B404" t="str">
            <v>RHSA-WHSTG-CHP</v>
          </cell>
          <cell r="C404" t="str">
            <v>VAR_ncap</v>
          </cell>
          <cell r="D404" t="str">
            <v>-</v>
          </cell>
          <cell r="E404">
            <v>5.0117242591295699E-2</v>
          </cell>
          <cell r="F404">
            <v>4.1376037971122502E-4</v>
          </cell>
          <cell r="G404">
            <v>2.95584384858744E-3</v>
          </cell>
          <cell r="H404">
            <v>5.5486795665590197E-4</v>
          </cell>
          <cell r="I404">
            <v>6.0945101762896004E-4</v>
          </cell>
          <cell r="J404">
            <v>4.6180839599365098E-4</v>
          </cell>
        </row>
        <row r="405">
          <cell r="B405" t="str">
            <v>RHSA-WHSTG-CHP</v>
          </cell>
          <cell r="C405" t="str">
            <v>VAR_cap</v>
          </cell>
          <cell r="D405" t="str">
            <v>-</v>
          </cell>
          <cell r="E405">
            <v>5.078733132002957E-2</v>
          </cell>
          <cell r="F405">
            <v>5.0867286993825089E-2</v>
          </cell>
          <cell r="G405">
            <v>5.3369139855173144E-2</v>
          </cell>
          <cell r="H405">
            <v>5.299346536031331E-2</v>
          </cell>
          <cell r="I405">
            <v>8.7793804817280996E-2</v>
          </cell>
          <cell r="J405">
            <v>3.736539605650499E-2</v>
          </cell>
        </row>
        <row r="406">
          <cell r="B406" t="str">
            <v>G-INTC-SER</v>
          </cell>
          <cell r="C406" t="str">
            <v>VAR_fout</v>
          </cell>
          <cell r="D406" t="str">
            <v>ELC35</v>
          </cell>
          <cell r="E406">
            <v>53.520812819266368</v>
          </cell>
          <cell r="F406">
            <v>6.0998066645106701E-2</v>
          </cell>
          <cell r="G406">
            <v>0.13937287826668948</v>
          </cell>
          <cell r="H406">
            <v>1.3523329656965051E-3</v>
          </cell>
          <cell r="I406">
            <v>1.4131600219013329E-2</v>
          </cell>
          <cell r="J406">
            <v>0.37393779385527531</v>
          </cell>
        </row>
        <row r="407">
          <cell r="B407" t="str">
            <v>G-INTC-SER</v>
          </cell>
          <cell r="C407" t="str">
            <v>VAR_fout</v>
          </cell>
          <cell r="D407" t="str">
            <v>SCOM_ELC</v>
          </cell>
          <cell r="E407">
            <v>61.938291040283474</v>
          </cell>
          <cell r="F407">
            <v>58.348337942862671</v>
          </cell>
          <cell r="G407">
            <v>53.417905262062888</v>
          </cell>
          <cell r="H407">
            <v>51.378909588320184</v>
          </cell>
          <cell r="I407">
            <v>47.94657675799165</v>
          </cell>
          <cell r="J407">
            <v>47.150841562731273</v>
          </cell>
        </row>
        <row r="408">
          <cell r="B408" t="str">
            <v>G-INTC-SER</v>
          </cell>
          <cell r="C408" t="str">
            <v>VAR_fin</v>
          </cell>
          <cell r="D408" t="str">
            <v>ELC5</v>
          </cell>
          <cell r="E408">
            <v>115.45908889040875</v>
          </cell>
          <cell r="F408">
            <v>58.409336009507705</v>
          </cell>
          <cell r="G408">
            <v>53.557278140329629</v>
          </cell>
          <cell r="H408">
            <v>51.3802619212859</v>
          </cell>
          <cell r="I408">
            <v>47.960708358210645</v>
          </cell>
          <cell r="J408">
            <v>47.524779356586492</v>
          </cell>
        </row>
        <row r="409">
          <cell r="B409" t="str">
            <v>G-INTC-SER</v>
          </cell>
          <cell r="C409" t="str">
            <v>VAR_ncap</v>
          </cell>
          <cell r="D409" t="str">
            <v>-</v>
          </cell>
          <cell r="E409">
            <v>5.7386887149031897E-7</v>
          </cell>
          <cell r="F409">
            <v>6.2601894047566904E-7</v>
          </cell>
          <cell r="G409">
            <v>6.5159710623126797E-7</v>
          </cell>
          <cell r="H409">
            <v>8.3400970753922703E-7</v>
          </cell>
          <cell r="I409">
            <v>1.36264533360481E-6</v>
          </cell>
          <cell r="J409">
            <v>2.4782664336062898E-6</v>
          </cell>
        </row>
        <row r="410">
          <cell r="B410" t="str">
            <v>G-INTC-SER</v>
          </cell>
          <cell r="C410" t="str">
            <v>VAR_cap</v>
          </cell>
          <cell r="D410" t="str">
            <v>-</v>
          </cell>
          <cell r="E410">
            <v>4.3683888589490198</v>
          </cell>
          <cell r="F410">
            <v>4.3683890455351175</v>
          </cell>
          <cell r="G410">
            <v>4.3683900588368321</v>
          </cell>
          <cell r="H410">
            <v>4.3683911692971895</v>
          </cell>
          <cell r="I410">
            <v>4.3683932626403008</v>
          </cell>
          <cell r="J410">
            <v>4.3683958030148151</v>
          </cell>
        </row>
        <row r="411">
          <cell r="B411" t="str">
            <v>CHPWOD</v>
          </cell>
          <cell r="C411" t="str">
            <v>VAR_fout</v>
          </cell>
          <cell r="D411" t="str">
            <v>ELC35</v>
          </cell>
          <cell r="E411">
            <v>0.42809414414382357</v>
          </cell>
          <cell r="F411">
            <v>7.898229922952861E-2</v>
          </cell>
          <cell r="G411">
            <v>0.38606706807947916</v>
          </cell>
          <cell r="H411">
            <v>1.4135067720607985E-3</v>
          </cell>
          <cell r="I411">
            <v>1.0672931395894589</v>
          </cell>
          <cell r="J411">
            <v>1.5142225142662351</v>
          </cell>
        </row>
        <row r="412">
          <cell r="B412" t="str">
            <v>CHPWOD</v>
          </cell>
          <cell r="C412" t="str">
            <v>VAR_fout</v>
          </cell>
          <cell r="D412" t="str">
            <v>LTH</v>
          </cell>
          <cell r="E412">
            <v>1.1195452711126088</v>
          </cell>
          <cell r="F412">
            <v>0.20655330331804908</v>
          </cell>
          <cell r="G412">
            <v>1.0096367033123459</v>
          </cell>
          <cell r="H412">
            <v>3.6965813337887189E-3</v>
          </cell>
          <cell r="I412">
            <v>2.7911687269351488</v>
          </cell>
          <cell r="J412">
            <v>3.9599716054267469</v>
          </cell>
        </row>
        <row r="413">
          <cell r="B413" t="str">
            <v>CHPWOD</v>
          </cell>
          <cell r="C413" t="str">
            <v>VAR_fin</v>
          </cell>
          <cell r="D413" t="str">
            <v>EWOD</v>
          </cell>
          <cell r="E413">
            <v>1.7559521877624202</v>
          </cell>
          <cell r="F413">
            <v>0.32088330768089118</v>
          </cell>
          <cell r="G413">
            <v>1.4941213782456411</v>
          </cell>
          <cell r="H413">
            <v>5.2543648665665512E-3</v>
          </cell>
          <cell r="I413">
            <v>3.5230356418074313</v>
          </cell>
          <cell r="J413">
            <v>4.9474349400641771</v>
          </cell>
        </row>
        <row r="414">
          <cell r="B414" t="str">
            <v>CHPWOD</v>
          </cell>
          <cell r="C414" t="str">
            <v>VAR_ncap</v>
          </cell>
          <cell r="D414" t="str">
            <v>-</v>
          </cell>
          <cell r="E414"/>
          <cell r="F414">
            <v>2.87907180745524E-6</v>
          </cell>
          <cell r="G414">
            <v>6.4896895110826196E-5</v>
          </cell>
          <cell r="H414">
            <v>5.5411803434259E-6</v>
          </cell>
          <cell r="I414">
            <v>5.3367195868936103E-2</v>
          </cell>
          <cell r="J414">
            <v>4.3684313844645002E-2</v>
          </cell>
        </row>
        <row r="415">
          <cell r="B415" t="str">
            <v>CHPWOD</v>
          </cell>
          <cell r="C415" t="str">
            <v>VAR_cap</v>
          </cell>
          <cell r="D415" t="str">
            <v>-</v>
          </cell>
          <cell r="E415">
            <v>1.9717987312919003E-2</v>
          </cell>
          <cell r="F415">
            <v>1.4388327798144959E-2</v>
          </cell>
          <cell r="G415">
            <v>1.4436960237928384E-2</v>
          </cell>
          <cell r="H415">
            <v>2.5712902132140475E-4</v>
          </cell>
          <cell r="I415">
            <v>5.6471763184344034E-2</v>
          </cell>
          <cell r="J415">
            <v>9.946960010081142E-2</v>
          </cell>
        </row>
        <row r="416">
          <cell r="B416" t="str">
            <v>D-EH2R</v>
          </cell>
          <cell r="C416" t="str">
            <v>VAR_fout</v>
          </cell>
          <cell r="D416" t="str">
            <v>EH2</v>
          </cell>
          <cell r="E416"/>
          <cell r="F416"/>
          <cell r="G416"/>
          <cell r="H416"/>
          <cell r="I416">
            <v>1.7511000599332567E-3</v>
          </cell>
          <cell r="J416">
            <v>0.4320629398187455</v>
          </cell>
        </row>
        <row r="417">
          <cell r="B417" t="str">
            <v>D-EH2R</v>
          </cell>
          <cell r="C417" t="str">
            <v>VAR_fin</v>
          </cell>
          <cell r="D417" t="str">
            <v>H2</v>
          </cell>
          <cell r="E417"/>
          <cell r="F417"/>
          <cell r="G417"/>
          <cell r="H417"/>
          <cell r="I417">
            <v>1.7511000599332567E-3</v>
          </cell>
          <cell r="J417">
            <v>0.4320629398187455</v>
          </cell>
        </row>
        <row r="418">
          <cell r="B418" t="str">
            <v>D-EH2R</v>
          </cell>
          <cell r="C418" t="str">
            <v>VAR_ncap</v>
          </cell>
          <cell r="D418" t="str">
            <v>-</v>
          </cell>
          <cell r="E418"/>
          <cell r="F418"/>
          <cell r="G418"/>
          <cell r="H418"/>
          <cell r="I418">
            <v>2.1405739069075501E-3</v>
          </cell>
          <cell r="J418">
            <v>2.16667849244228E-2</v>
          </cell>
        </row>
        <row r="419">
          <cell r="B419" t="str">
            <v>D-EH2R</v>
          </cell>
          <cell r="C419" t="str">
            <v>VAR_cap</v>
          </cell>
          <cell r="D419" t="str">
            <v>-</v>
          </cell>
          <cell r="E419"/>
          <cell r="F419"/>
          <cell r="G419"/>
          <cell r="H419"/>
          <cell r="I419">
            <v>2.1423030316270802E-3</v>
          </cell>
          <cell r="J419">
            <v>2.23999769677652E-2</v>
          </cell>
        </row>
        <row r="420">
          <cell r="B420" t="str">
            <v>G-INTC1</v>
          </cell>
          <cell r="C420" t="str">
            <v>VAR_fout</v>
          </cell>
          <cell r="D420" t="str">
            <v>ELC13</v>
          </cell>
          <cell r="E420">
            <v>125.29563499472485</v>
          </cell>
          <cell r="F420">
            <v>139.45013531866874</v>
          </cell>
          <cell r="G420">
            <v>120.25345686945651</v>
          </cell>
          <cell r="H420">
            <v>131.61241771744201</v>
          </cell>
          <cell r="I420">
            <v>114.99649381608023</v>
          </cell>
          <cell r="J420">
            <v>75.057963647123131</v>
          </cell>
        </row>
        <row r="421">
          <cell r="B421" t="str">
            <v>G-INTC1</v>
          </cell>
          <cell r="C421" t="str">
            <v>VAR_fin</v>
          </cell>
          <cell r="D421" t="str">
            <v>ELC</v>
          </cell>
          <cell r="E421">
            <v>126.61512800990317</v>
          </cell>
          <cell r="F421">
            <v>143.0646598028396</v>
          </cell>
          <cell r="G421">
            <v>123.10259820960756</v>
          </cell>
          <cell r="H421">
            <v>134.24499366301146</v>
          </cell>
          <cell r="I421">
            <v>116.45707707000139</v>
          </cell>
          <cell r="J421">
            <v>75.471046634484523</v>
          </cell>
        </row>
        <row r="422">
          <cell r="B422" t="str">
            <v>G-INTC1</v>
          </cell>
          <cell r="C422" t="str">
            <v>VAR_ncap</v>
          </cell>
          <cell r="D422" t="str">
            <v>-</v>
          </cell>
          <cell r="E422">
            <v>1.0437750881932799E-6</v>
          </cell>
          <cell r="F422">
            <v>1.11313140495651E-6</v>
          </cell>
          <cell r="G422">
            <v>1.26300683382273E-6</v>
          </cell>
          <cell r="H422">
            <v>1.4893008494320699E-6</v>
          </cell>
          <cell r="I422">
            <v>2.8823030521382201E-6</v>
          </cell>
          <cell r="J422">
            <v>8.5907853506239503E-6</v>
          </cell>
        </row>
        <row r="423">
          <cell r="B423" t="str">
            <v>G-INTC1</v>
          </cell>
          <cell r="C423" t="str">
            <v>VAR_cap</v>
          </cell>
          <cell r="D423" t="str">
            <v>-</v>
          </cell>
          <cell r="E423">
            <v>15.305609183965201</v>
          </cell>
          <cell r="F423">
            <v>15.305609183965201</v>
          </cell>
          <cell r="G423">
            <v>15.305609183965201</v>
          </cell>
          <cell r="H423">
            <v>15.305610211847139</v>
          </cell>
          <cell r="I423">
            <v>15.305614093179377</v>
          </cell>
          <cell r="J423">
            <v>15.305619706579574</v>
          </cell>
        </row>
        <row r="424">
          <cell r="B424" t="str">
            <v>EHYD-RUNS00</v>
          </cell>
          <cell r="C424" t="str">
            <v>VAR_fout</v>
          </cell>
          <cell r="D424" t="str">
            <v>ELC35</v>
          </cell>
          <cell r="E424">
            <v>12.240001868262153</v>
          </cell>
          <cell r="F424">
            <v>12.21162601168998</v>
          </cell>
          <cell r="G424">
            <v>12.222342017137466</v>
          </cell>
          <cell r="H424">
            <v>12.230199744406711</v>
          </cell>
          <cell r="I424">
            <v>12.242726482072198</v>
          </cell>
          <cell r="J424">
            <v>12.258391205467584</v>
          </cell>
        </row>
        <row r="425">
          <cell r="B425" t="str">
            <v>EHYD-RUNS00</v>
          </cell>
          <cell r="C425" t="str">
            <v>VAR_fin</v>
          </cell>
          <cell r="D425" t="str">
            <v>HYDR</v>
          </cell>
          <cell r="E425">
            <v>12.240001868262153</v>
          </cell>
          <cell r="F425">
            <v>12.21162601168998</v>
          </cell>
          <cell r="G425">
            <v>12.222342017137466</v>
          </cell>
          <cell r="H425">
            <v>12.230199744406711</v>
          </cell>
          <cell r="I425">
            <v>12.242726482072198</v>
          </cell>
          <cell r="J425">
            <v>12.258391205467584</v>
          </cell>
        </row>
        <row r="426">
          <cell r="B426" t="str">
            <v>EHYD-RUNS00</v>
          </cell>
          <cell r="C426" t="str">
            <v>VAR_cap</v>
          </cell>
          <cell r="D426" t="str">
            <v>-</v>
          </cell>
          <cell r="E426">
            <v>0.85785999999999896</v>
          </cell>
          <cell r="F426">
            <v>0.88297936593724102</v>
          </cell>
          <cell r="G426">
            <v>0.89707999999999899</v>
          </cell>
          <cell r="H426">
            <v>0.89707999999999899</v>
          </cell>
          <cell r="I426">
            <v>0.89707999999999899</v>
          </cell>
          <cell r="J426">
            <v>0.89707999999999899</v>
          </cell>
        </row>
        <row r="427">
          <cell r="B427" t="str">
            <v>RHNS-SHSTG-CHPWOD</v>
          </cell>
          <cell r="C427" t="str">
            <v>VAR_fout</v>
          </cell>
          <cell r="D427" t="str">
            <v>AUX_RNS-CHPWOD_OUT</v>
          </cell>
          <cell r="E427">
            <v>5.0409354197817116E-4</v>
          </cell>
          <cell r="F427">
            <v>5.9045943851274401E-4</v>
          </cell>
          <cell r="G427">
            <v>2.587563864170775E-4</v>
          </cell>
          <cell r="H427">
            <v>4.2809022236769604E-4</v>
          </cell>
          <cell r="I427">
            <v>4.2094642984070396E-2</v>
          </cell>
          <cell r="J427">
            <v>1.1478203827790072E-2</v>
          </cell>
        </row>
        <row r="428">
          <cell r="B428" t="str">
            <v>RHNS-SHSTG-CHPWOD</v>
          </cell>
          <cell r="C428" t="str">
            <v>VAR_fout</v>
          </cell>
          <cell r="D428" t="str">
            <v>RHNS_LTH_CHPWOD</v>
          </cell>
          <cell r="E428">
            <v>5.0409354197817019E-4</v>
          </cell>
          <cell r="F428">
            <v>5.9085307813841752E-4</v>
          </cell>
          <cell r="G428">
            <v>2.5902592431959511E-4</v>
          </cell>
          <cell r="H428">
            <v>4.2809022236769604E-4</v>
          </cell>
          <cell r="I428">
            <v>4.2094642984070237E-2</v>
          </cell>
          <cell r="J428">
            <v>1.1478203827790065E-2</v>
          </cell>
        </row>
        <row r="429">
          <cell r="B429" t="str">
            <v>RHNS-SHSTG-CHPWOD</v>
          </cell>
          <cell r="C429" t="str">
            <v>VAR_fin</v>
          </cell>
          <cell r="D429" t="str">
            <v>AUX_RNS-CHPWOD_IN</v>
          </cell>
          <cell r="E429">
            <v>3.9353204108841136E-4</v>
          </cell>
          <cell r="F429">
            <v>4.4381712801802798E-4</v>
          </cell>
          <cell r="G429">
            <v>2.0628023156092135E-4</v>
          </cell>
          <cell r="H429">
            <v>5.4358036780576794E-4</v>
          </cell>
          <cell r="I429">
            <v>4.9531785470322033E-2</v>
          </cell>
          <cell r="J429">
            <v>1.2761973681597701E-2</v>
          </cell>
        </row>
        <row r="430">
          <cell r="B430" t="str">
            <v>RHNS-SHSTG-CHPWOD</v>
          </cell>
          <cell r="C430" t="str">
            <v>VAR_fin</v>
          </cell>
          <cell r="D430" t="str">
            <v>RHNS_LTH_CHPWOD</v>
          </cell>
          <cell r="E430">
            <v>3.9353204108841136E-4</v>
          </cell>
          <cell r="F430">
            <v>4.4381712801802798E-4</v>
          </cell>
          <cell r="G430">
            <v>2.0628023156092135E-4</v>
          </cell>
          <cell r="H430">
            <v>5.4358036780576794E-4</v>
          </cell>
          <cell r="I430">
            <v>4.9531785470322033E-2</v>
          </cell>
          <cell r="J430">
            <v>1.2761973681597701E-2</v>
          </cell>
        </row>
        <row r="431">
          <cell r="B431" t="str">
            <v>RHNS-SHSTG-CHPWOD</v>
          </cell>
          <cell r="C431" t="str">
            <v>VAR_ncap</v>
          </cell>
          <cell r="D431" t="str">
            <v>-</v>
          </cell>
          <cell r="E431">
            <v>1.53308133843523E-2</v>
          </cell>
          <cell r="F431">
            <v>3.8220571432896099E-4</v>
          </cell>
          <cell r="G431">
            <v>5.9665698835447095E-4</v>
          </cell>
          <cell r="H431">
            <v>4.7986253840609402E-4</v>
          </cell>
          <cell r="I431">
            <v>1.2832791756741499E-3</v>
          </cell>
          <cell r="J431">
            <v>3.0219090744190999E-3</v>
          </cell>
        </row>
        <row r="432">
          <cell r="B432" t="str">
            <v>RHNS-SHSTG-CHPWOD</v>
          </cell>
          <cell r="C432" t="str">
            <v>VAR_cap</v>
          </cell>
          <cell r="D432" t="str">
            <v>-</v>
          </cell>
          <cell r="E432">
            <v>1.53308133843523E-2</v>
          </cell>
          <cell r="F432">
            <v>1.5671229638767627E-2</v>
          </cell>
          <cell r="G432">
            <v>1.6155586789975217E-2</v>
          </cell>
          <cell r="H432">
            <v>1.645600384727082E-2</v>
          </cell>
          <cell r="I432">
            <v>2.0836190164064905E-2</v>
          </cell>
          <cell r="J432">
            <v>1.2017407914533013E-2</v>
          </cell>
        </row>
        <row r="433">
          <cell r="B433" t="str">
            <v>HPLOIL</v>
          </cell>
          <cell r="C433" t="str">
            <v>VAR_fout</v>
          </cell>
          <cell r="D433" t="str">
            <v>LTH</v>
          </cell>
          <cell r="E433">
            <v>0.18409700225770048</v>
          </cell>
          <cell r="F433">
            <v>0.18581072702836712</v>
          </cell>
          <cell r="G433">
            <v>4.6408135699812593E-2</v>
          </cell>
          <cell r="H433">
            <v>4.4642391534964791E-2</v>
          </cell>
          <cell r="I433">
            <v>3.9726488457919812E-4</v>
          </cell>
          <cell r="J433">
            <v>5.8448284503781723E-6</v>
          </cell>
        </row>
        <row r="434">
          <cell r="B434" t="str">
            <v>HPLOIL</v>
          </cell>
          <cell r="C434" t="str">
            <v>VAR_fout</v>
          </cell>
          <cell r="D434" t="str">
            <v>CO2_E</v>
          </cell>
          <cell r="E434">
            <v>15.879067815104399</v>
          </cell>
          <cell r="F434">
            <v>16.0268831055009</v>
          </cell>
          <cell r="G434">
            <v>4.0028785092239003</v>
          </cell>
          <cell r="H434">
            <v>3.8505763478964998</v>
          </cell>
          <cell r="I434">
            <v>3.4265609789574103E-2</v>
          </cell>
          <cell r="J434">
            <v>5.0413872139694002E-4</v>
          </cell>
        </row>
        <row r="435">
          <cell r="B435" t="str">
            <v>HPLOIL</v>
          </cell>
          <cell r="C435" t="str">
            <v>VAR_fin</v>
          </cell>
          <cell r="D435" t="str">
            <v>ELFO</v>
          </cell>
          <cell r="E435">
            <v>0.21545546560521597</v>
          </cell>
          <cell r="F435">
            <v>0.21746110048169448</v>
          </cell>
          <cell r="G435">
            <v>5.4313141237773394E-2</v>
          </cell>
          <cell r="H435">
            <v>5.2246626158704214E-2</v>
          </cell>
          <cell r="I435">
            <v>4.6493364707698981E-4</v>
          </cell>
          <cell r="J435">
            <v>6.8404168439204876E-6</v>
          </cell>
        </row>
        <row r="436">
          <cell r="B436" t="str">
            <v>HPLOIL</v>
          </cell>
          <cell r="C436" t="str">
            <v>VAR_ncap</v>
          </cell>
          <cell r="D436" t="str">
            <v>-</v>
          </cell>
          <cell r="E436">
            <v>5.2331072864318195E-4</v>
          </cell>
          <cell r="F436">
            <v>3.3415724604532199E-4</v>
          </cell>
          <cell r="G436">
            <v>1.7152181566306199E-4</v>
          </cell>
          <cell r="H436">
            <v>2.6861650322467998E-4</v>
          </cell>
          <cell r="I436">
            <v>4.6984772053614802E-4</v>
          </cell>
          <cell r="J436">
            <v>2.7055354499998301E-4</v>
          </cell>
        </row>
        <row r="437">
          <cell r="B437" t="str">
            <v>HPLOIL</v>
          </cell>
          <cell r="C437" t="str">
            <v>VAR_cap</v>
          </cell>
          <cell r="D437" t="str">
            <v>-</v>
          </cell>
          <cell r="E437">
            <v>3.925530647900409E-2</v>
          </cell>
          <cell r="F437">
            <v>2.9877555545000604E-2</v>
          </cell>
          <cell r="G437">
            <v>2.141269309260057E-2</v>
          </cell>
          <cell r="H437">
            <v>1.0097915657327379E-2</v>
          </cell>
          <cell r="I437">
            <v>5.1680787157808768E-3</v>
          </cell>
          <cell r="J437">
            <v>4.0942779196403928E-3</v>
          </cell>
        </row>
        <row r="438">
          <cell r="B438" t="str">
            <v>V2G</v>
          </cell>
          <cell r="C438" t="str">
            <v>VAR_fout</v>
          </cell>
          <cell r="D438" t="str">
            <v>ELC35</v>
          </cell>
          <cell r="E438"/>
          <cell r="F438"/>
          <cell r="G438"/>
          <cell r="H438">
            <v>0.20090855746624137</v>
          </cell>
          <cell r="I438">
            <v>9.8409634555642833E-2</v>
          </cell>
          <cell r="J438">
            <v>2.4486076021691234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T-ELC-Bus_c_BatSTGout_S1</v>
          </cell>
          <cell r="E439"/>
          <cell r="F439"/>
          <cell r="G439"/>
          <cell r="H439">
            <v>2.8136267446004495E-3</v>
          </cell>
          <cell r="I439">
            <v>1.3923175588526611E-3</v>
          </cell>
          <cell r="J439">
            <v>7.8211380162713263E-3</v>
          </cell>
        </row>
        <row r="440">
          <cell r="B440" t="str">
            <v>V2G</v>
          </cell>
          <cell r="C440" t="str">
            <v>VAR_fin</v>
          </cell>
          <cell r="D440" t="str">
            <v>T-ELC-Bus_c_BatSTGout_S2</v>
          </cell>
          <cell r="E440"/>
          <cell r="F440"/>
          <cell r="G440"/>
          <cell r="H440">
            <v>2.8713968841130402E-3</v>
          </cell>
          <cell r="I440">
            <v>1.4486984179260902E-3</v>
          </cell>
          <cell r="J440">
            <v>1.0095790253570389E-2</v>
          </cell>
        </row>
        <row r="441">
          <cell r="B441" t="str">
            <v>V2G</v>
          </cell>
          <cell r="C441" t="str">
            <v>VAR_fin</v>
          </cell>
          <cell r="D441" t="str">
            <v>T-ELC-Bus_c_BatSTGout_S3</v>
          </cell>
          <cell r="E441"/>
          <cell r="F441"/>
          <cell r="G441"/>
          <cell r="H441">
            <v>5.372535047926954E-4</v>
          </cell>
          <cell r="I441">
            <v>1.1324558564695343E-3</v>
          </cell>
          <cell r="J441">
            <v>4.4420350024894709E-3</v>
          </cell>
        </row>
        <row r="442">
          <cell r="B442" t="str">
            <v>V2G</v>
          </cell>
          <cell r="C442" t="str">
            <v>VAR_fin</v>
          </cell>
          <cell r="D442" t="str">
            <v>T-ELC-Bus_c_BatSTGout_S4</v>
          </cell>
          <cell r="E442"/>
          <cell r="F442"/>
          <cell r="G442"/>
          <cell r="H442">
            <v>7.347926455754611E-5</v>
          </cell>
          <cell r="I442">
            <v>1.6438882326801946E-3</v>
          </cell>
          <cell r="J442">
            <v>1.9877316476267794E-3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T-ELC-car-BatSTGOut_S1</v>
          </cell>
          <cell r="E443"/>
          <cell r="F443"/>
          <cell r="G443"/>
          <cell r="H443">
            <v>2.4545997312924426E-2</v>
          </cell>
          <cell r="I443">
            <v>2.040285652891655E-3</v>
          </cell>
          <cell r="J443">
            <v>0.73228167267015698</v>
          </cell>
        </row>
        <row r="444">
          <cell r="B444" t="str">
            <v>V2G</v>
          </cell>
          <cell r="C444" t="str">
            <v>VAR_fin</v>
          </cell>
          <cell r="D444" t="str">
            <v>T-ELC-car-BatSTGOut_S2</v>
          </cell>
          <cell r="E444"/>
          <cell r="F444"/>
          <cell r="G444"/>
          <cell r="H444">
            <v>2.0754041148192477E-2</v>
          </cell>
          <cell r="I444">
            <v>1.802137686131193E-3</v>
          </cell>
          <cell r="J444">
            <v>0.34793372133297057</v>
          </cell>
        </row>
        <row r="445">
          <cell r="B445" t="str">
            <v>V2G</v>
          </cell>
          <cell r="C445" t="str">
            <v>VAR_fin</v>
          </cell>
          <cell r="D445" t="str">
            <v>T-ELC-car-BatSTGOut_S3</v>
          </cell>
          <cell r="E445"/>
          <cell r="F445"/>
          <cell r="G445"/>
          <cell r="H445">
            <v>5.1135986125568711E-3</v>
          </cell>
          <cell r="I445">
            <v>1.8402083816249032E-3</v>
          </cell>
          <cell r="J445">
            <v>0.34513900406546794</v>
          </cell>
        </row>
        <row r="446">
          <cell r="B446" t="str">
            <v>V2G</v>
          </cell>
          <cell r="C446" t="str">
            <v>VAR_fin</v>
          </cell>
          <cell r="D446" t="str">
            <v>T-ELC-car-BatSTGOut_S4</v>
          </cell>
          <cell r="E446"/>
          <cell r="F446"/>
          <cell r="G446"/>
          <cell r="H446">
            <v>2.5293888941708562E-2</v>
          </cell>
          <cell r="I446">
            <v>1.7691751906243425E-3</v>
          </cell>
          <cell r="J446">
            <v>0.33118162499553466</v>
          </cell>
        </row>
        <row r="447">
          <cell r="B447" t="str">
            <v>V2G</v>
          </cell>
          <cell r="C447" t="str">
            <v>VAR_fin</v>
          </cell>
          <cell r="D447" t="str">
            <v>T-ELC-car-PlgSTGOut_S1</v>
          </cell>
          <cell r="H447">
            <v>5.5495366023550772E-3</v>
          </cell>
          <cell r="I447">
            <v>9.265515049518518E-3</v>
          </cell>
          <cell r="J447">
            <v>1.2505217892801384E-2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T-ELC-car-PlgSTGOut_S2</v>
          </cell>
          <cell r="H448">
            <v>1.5338214243904384E-2</v>
          </cell>
          <cell r="I448">
            <v>9.8317513569246224E-4</v>
          </cell>
          <cell r="J448">
            <v>2.5518495954019627E-3</v>
          </cell>
        </row>
        <row r="449">
          <cell r="B449" t="str">
            <v>V2G</v>
          </cell>
          <cell r="C449" t="str">
            <v>VAR_fin</v>
          </cell>
          <cell r="D449" t="str">
            <v>T-ELC-car-PlgSTGOut_S3</v>
          </cell>
          <cell r="H449">
            <v>3.4771448820685455E-3</v>
          </cell>
          <cell r="I449">
            <v>1.9095889368369325E-3</v>
          </cell>
          <cell r="J449">
            <v>0.33210517597120687</v>
          </cell>
        </row>
        <row r="450">
          <cell r="B450" t="str">
            <v>V2G</v>
          </cell>
          <cell r="C450" t="str">
            <v>VAR_fin</v>
          </cell>
          <cell r="D450" t="str">
            <v>T-ELC-TWSTGout_S1</v>
          </cell>
          <cell r="H450">
            <v>6.2695304116096385E-3</v>
          </cell>
          <cell r="I450">
            <v>2.6946619914766292E-3</v>
          </cell>
          <cell r="J450">
            <v>1.0935837770453051E-2</v>
          </cell>
        </row>
        <row r="451">
          <cell r="B451" t="str">
            <v>V2G</v>
          </cell>
          <cell r="C451" t="str">
            <v>VAR_fin</v>
          </cell>
          <cell r="D451" t="str">
            <v>T-ELC-car-PlgSTGOut_S4</v>
          </cell>
          <cell r="H451">
            <v>1.6729343045405649E-2</v>
          </cell>
          <cell r="I451">
            <v>3.3719979004615858E-3</v>
          </cell>
          <cell r="J451">
            <v>4.7049715970747384E-2</v>
          </cell>
        </row>
        <row r="452">
          <cell r="B452" t="str">
            <v>V2G</v>
          </cell>
          <cell r="C452" t="str">
            <v>VAR_fin</v>
          </cell>
          <cell r="D452" t="str">
            <v>T-ELC-TWSTGout_S2</v>
          </cell>
          <cell r="H452">
            <v>1.8394594327235166E-2</v>
          </cell>
          <cell r="I452">
            <v>1.1879346260011834E-2</v>
          </cell>
          <cell r="J452">
            <v>2.6324687003850111E-2</v>
          </cell>
        </row>
        <row r="453">
          <cell r="B453" t="str">
            <v>V2G</v>
          </cell>
          <cell r="C453" t="str">
            <v>VAR_fin</v>
          </cell>
          <cell r="D453" t="str">
            <v>T-ELC-TWSTGout_S3</v>
          </cell>
          <cell r="H453">
            <v>1.914610207631294E-2</v>
          </cell>
          <cell r="I453">
            <v>2.287612883218286E-2</v>
          </cell>
          <cell r="J453">
            <v>3.8641960955235144E-2</v>
          </cell>
        </row>
        <row r="454">
          <cell r="B454" t="str">
            <v>V2G</v>
          </cell>
          <cell r="C454" t="str">
            <v>VAR_fin</v>
          </cell>
          <cell r="D454" t="str">
            <v>T-ELC-TWSTGout_S4</v>
          </cell>
          <cell r="H454">
            <v>1.9256191324479265E-2</v>
          </cell>
          <cell r="I454">
            <v>2.4125229273423549E-2</v>
          </cell>
          <cell r="J454">
            <v>5.9886594613310876E-2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T-ELC-Bus_u_BatSTGout_S1</v>
          </cell>
          <cell r="H455">
            <v>1.1567032993278143E-3</v>
          </cell>
          <cell r="I455">
            <v>1.1166082003438696E-3</v>
          </cell>
          <cell r="J455">
            <v>1.6033232962135826E-3</v>
          </cell>
        </row>
        <row r="456">
          <cell r="B456" t="str">
            <v>V2G</v>
          </cell>
          <cell r="C456" t="str">
            <v>VAR_fin</v>
          </cell>
          <cell r="D456" t="str">
            <v>T-ELC-Bus_u_BatSTGout_S2</v>
          </cell>
          <cell r="H456">
            <v>1.2063437366109239E-3</v>
          </cell>
          <cell r="I456">
            <v>1.1927959981520827E-3</v>
          </cell>
          <cell r="J456">
            <v>1.6448186919125892E-3</v>
          </cell>
        </row>
        <row r="457">
          <cell r="B457" t="str">
            <v>V2G</v>
          </cell>
          <cell r="C457" t="str">
            <v>VAR_fin</v>
          </cell>
          <cell r="D457" t="str">
            <v>T-ELC-Bus_u_BatSTGout_S3</v>
          </cell>
          <cell r="H457">
            <v>4.7197018134607926E-4</v>
          </cell>
          <cell r="I457">
            <v>5.0394337760204715E-4</v>
          </cell>
          <cell r="J457">
            <v>6.2508267797474135E-4</v>
          </cell>
        </row>
        <row r="458">
          <cell r="B458" t="str">
            <v>V2G</v>
          </cell>
          <cell r="C458" t="str">
            <v>VAR_fin</v>
          </cell>
          <cell r="D458" t="str">
            <v>T-ELC-Bus_u_BatSTGout_S4</v>
          </cell>
          <cell r="H458">
            <v>3.1854821383825549E-3</v>
          </cell>
          <cell r="I458">
            <v>1.6574703383894296E-3</v>
          </cell>
          <cell r="J458">
            <v>1.5050096763178239E-3</v>
          </cell>
        </row>
        <row r="459">
          <cell r="B459" t="str">
            <v>V2G</v>
          </cell>
          <cell r="C459" t="str">
            <v>VAR_fin</v>
          </cell>
          <cell r="D459" t="str">
            <v>T-ELC-LGV_BatSTGout</v>
          </cell>
          <cell r="H459">
            <v>2.6964364586623576E-3</v>
          </cell>
          <cell r="I459">
            <v>1.2899679459875632E-3</v>
          </cell>
          <cell r="J459">
            <v>2.8994166471589524E-3</v>
          </cell>
        </row>
        <row r="460">
          <cell r="B460" t="str">
            <v>V2G</v>
          </cell>
          <cell r="C460" t="str">
            <v>VAR_fin</v>
          </cell>
          <cell r="D460" t="str">
            <v>T-ELC-HGV_BatSTGout</v>
          </cell>
          <cell r="H460">
            <v>6.581450721627885E-3</v>
          </cell>
          <cell r="I460">
            <v>2.9849610772024323E-3</v>
          </cell>
          <cell r="J460">
            <v>0.12988082814684018</v>
          </cell>
        </row>
        <row r="461">
          <cell r="B461" t="str">
            <v>V2G</v>
          </cell>
          <cell r="C461" t="str">
            <v>VAR_ncap</v>
          </cell>
          <cell r="D461" t="str">
            <v>-</v>
          </cell>
          <cell r="H461">
            <v>3.7366444659736299E-2</v>
          </cell>
          <cell r="I461">
            <v>7.8381522889640801E-2</v>
          </cell>
          <cell r="J461">
            <v>3.1634901230143702</v>
          </cell>
        </row>
        <row r="462">
          <cell r="B462" t="str">
            <v>V2G</v>
          </cell>
          <cell r="C462" t="str">
            <v>VAR_cap</v>
          </cell>
          <cell r="D462" t="str">
            <v>-</v>
          </cell>
          <cell r="H462">
            <v>3.7366444659736299E-2</v>
          </cell>
          <cell r="I462">
            <v>0.47098897642658538</v>
          </cell>
          <cell r="J462">
            <v>3.3756648292414226</v>
          </cell>
        </row>
        <row r="463">
          <cell r="B463" t="str">
            <v>D-EBIO</v>
          </cell>
          <cell r="C463" t="str">
            <v>VAR_fout</v>
          </cell>
          <cell r="D463" t="str">
            <v>EBIO</v>
          </cell>
          <cell r="E463">
            <v>1.1839600421804968</v>
          </cell>
          <cell r="F463">
            <v>4.1164818992322409</v>
          </cell>
          <cell r="G463">
            <v>4.2876497115303698</v>
          </cell>
          <cell r="H463">
            <v>9.7744967545413652E-5</v>
          </cell>
          <cell r="I463">
            <v>0.10434183728637794</v>
          </cell>
          <cell r="J463">
            <v>2.3592357067492298</v>
          </cell>
        </row>
        <row r="464">
          <cell r="B464" t="str">
            <v>D-EBIO</v>
          </cell>
          <cell r="C464" t="str">
            <v>VAR_fin</v>
          </cell>
          <cell r="D464" t="str">
            <v>BIO</v>
          </cell>
          <cell r="E464">
            <v>1.1839600421804968</v>
          </cell>
          <cell r="F464">
            <v>4.1164818992322409</v>
          </cell>
          <cell r="G464">
            <v>4.2876497115303698</v>
          </cell>
          <cell r="H464">
            <v>9.7744967545413652E-5</v>
          </cell>
          <cell r="I464">
            <v>0.10434183728637794</v>
          </cell>
          <cell r="J464">
            <v>2.3592357067492298</v>
          </cell>
        </row>
        <row r="465">
          <cell r="B465" t="str">
            <v>G-INTC3</v>
          </cell>
          <cell r="C465" t="str">
            <v>VAR_fout</v>
          </cell>
          <cell r="D465" t="str">
            <v>ELC35</v>
          </cell>
          <cell r="E465">
            <v>148.8276889176739</v>
          </cell>
          <cell r="F465">
            <v>103.63714031428171</v>
          </cell>
          <cell r="G465">
            <v>92.337432565212055</v>
          </cell>
          <cell r="H465">
            <v>123.09432391307999</v>
          </cell>
          <cell r="I465">
            <v>127.40631072673278</v>
          </cell>
          <cell r="J465">
            <v>97.514866986181019</v>
          </cell>
        </row>
        <row r="466">
          <cell r="B466" t="str">
            <v>G-INTC3</v>
          </cell>
          <cell r="C466" t="str">
            <v>VAR_fout</v>
          </cell>
          <cell r="D466" t="str">
            <v>ELC3</v>
          </cell>
          <cell r="E466">
            <v>28.818761264359281</v>
          </cell>
          <cell r="F466">
            <v>71.026317733540409</v>
          </cell>
          <cell r="G466">
            <v>73.951717820679391</v>
          </cell>
          <cell r="H466">
            <v>54.020041785959407</v>
          </cell>
          <cell r="I466">
            <v>33.603613765613389</v>
          </cell>
          <cell r="J466">
            <v>26.628269875392274</v>
          </cell>
        </row>
        <row r="467">
          <cell r="B467" t="str">
            <v>G-INTC3</v>
          </cell>
          <cell r="C467" t="str">
            <v>VAR_fout</v>
          </cell>
          <cell r="D467" t="str">
            <v>ELC</v>
          </cell>
          <cell r="E467">
            <v>0.32993031089787167</v>
          </cell>
          <cell r="F467">
            <v>3.616022148223566E-2</v>
          </cell>
          <cell r="G467">
            <v>7.6421252432279943E-2</v>
          </cell>
          <cell r="H467">
            <v>1.0042495547061205E-3</v>
          </cell>
          <cell r="I467">
            <v>0.13182524823462796</v>
          </cell>
          <cell r="J467">
            <v>1.7115890562969338</v>
          </cell>
        </row>
        <row r="468">
          <cell r="B468" t="str">
            <v>G-INTC3</v>
          </cell>
          <cell r="C468" t="str">
            <v>VAR_fin</v>
          </cell>
          <cell r="D468" t="str">
            <v>ELC13</v>
          </cell>
          <cell r="E468">
            <v>181.7047605115105</v>
          </cell>
          <cell r="F468">
            <v>182.93268784172332</v>
          </cell>
          <cell r="G468">
            <v>173.63345166371283</v>
          </cell>
          <cell r="H468">
            <v>183.84606738263915</v>
          </cell>
          <cell r="I468">
            <v>165.46287450488921</v>
          </cell>
          <cell r="J468">
            <v>127.85198195173385</v>
          </cell>
        </row>
        <row r="469">
          <cell r="B469" t="str">
            <v>G-INTC3</v>
          </cell>
          <cell r="C469" t="str">
            <v>VAR_ncap</v>
          </cell>
          <cell r="D469" t="str">
            <v>-</v>
          </cell>
          <cell r="E469">
            <v>1.3724188452650199E-6</v>
          </cell>
          <cell r="F469">
            <v>1.50143825189801E-6</v>
          </cell>
          <cell r="G469">
            <v>1.71328229904061E-6</v>
          </cell>
          <cell r="H469">
            <v>1.97990783728852E-6</v>
          </cell>
          <cell r="I469">
            <v>3.56660920416123E-6</v>
          </cell>
          <cell r="J469">
            <v>1.043683237014E-5</v>
          </cell>
        </row>
        <row r="470">
          <cell r="B470" t="str">
            <v>G-INTC3</v>
          </cell>
          <cell r="C470" t="str">
            <v>VAR_cap</v>
          </cell>
          <cell r="D470" t="str">
            <v>-</v>
          </cell>
          <cell r="E470">
            <v>13.914190167241101</v>
          </cell>
          <cell r="F470">
            <v>13.914190167241101</v>
          </cell>
          <cell r="G470">
            <v>13.914190167241101</v>
          </cell>
          <cell r="H470">
            <v>13.914191534176799</v>
          </cell>
          <cell r="I470">
            <v>13.914196734288334</v>
          </cell>
          <cell r="J470">
            <v>13.914203611314473</v>
          </cell>
        </row>
        <row r="471">
          <cell r="B471" t="str">
            <v>HPLBIO</v>
          </cell>
          <cell r="C471" t="str">
            <v>VAR_fout</v>
          </cell>
          <cell r="D471" t="str">
            <v>LTH</v>
          </cell>
          <cell r="E471">
            <v>0.90178194487958918</v>
          </cell>
          <cell r="F471">
            <v>3.1353837299395462</v>
          </cell>
          <cell r="G471">
            <v>3.2657564090636826</v>
          </cell>
          <cell r="H471">
            <v>7.4449004860805611E-5</v>
          </cell>
          <cell r="I471">
            <v>7.9473615331753469E-2</v>
          </cell>
          <cell r="J471">
            <v>1.7969492958085389</v>
          </cell>
        </row>
        <row r="472">
          <cell r="B472" t="str">
            <v>HPLBIO</v>
          </cell>
          <cell r="C472" t="str">
            <v>VAR_fin</v>
          </cell>
          <cell r="D472" t="str">
            <v>EBIO</v>
          </cell>
          <cell r="E472">
            <v>1.1839600421804968</v>
          </cell>
          <cell r="F472">
            <v>4.1164818992322409</v>
          </cell>
          <cell r="G472">
            <v>4.2876497115303698</v>
          </cell>
          <cell r="H472">
            <v>9.7744967545413652E-5</v>
          </cell>
          <cell r="I472">
            <v>0.10434183728637794</v>
          </cell>
          <cell r="J472">
            <v>2.3592357067492298</v>
          </cell>
        </row>
        <row r="473">
          <cell r="B473" t="str">
            <v>HPLBIO</v>
          </cell>
          <cell r="C473" t="str">
            <v>VAR_ncap</v>
          </cell>
          <cell r="D473" t="str">
            <v>-</v>
          </cell>
          <cell r="E473">
            <v>1.0111563484598801E-2</v>
          </cell>
          <cell r="F473">
            <v>0.27351977024424801</v>
          </cell>
          <cell r="G473">
            <v>1.6623116722008401E-2</v>
          </cell>
          <cell r="H473">
            <v>1.56089232270099E-4</v>
          </cell>
          <cell r="I473">
            <v>5.7176948224546E-4</v>
          </cell>
          <cell r="J473">
            <v>0.22743743676718001</v>
          </cell>
        </row>
        <row r="474">
          <cell r="B474" t="str">
            <v>HPLBIO</v>
          </cell>
          <cell r="C474" t="str">
            <v>VAR_cap</v>
          </cell>
          <cell r="D474" t="str">
            <v>-</v>
          </cell>
          <cell r="E474">
            <v>0.12447774588027301</v>
          </cell>
          <cell r="F474">
            <v>0.3979692532302937</v>
          </cell>
          <cell r="G474">
            <v>0.41446648272415904</v>
          </cell>
          <cell r="H474">
            <v>2.1808229883070906E-2</v>
          </cell>
          <cell r="I474">
            <v>1.7992319393973E-2</v>
          </cell>
          <cell r="J474">
            <v>0.22820044291133221</v>
          </cell>
        </row>
        <row r="475">
          <cell r="B475" t="str">
            <v>CHPGFC</v>
          </cell>
          <cell r="C475" t="str">
            <v>VAR_fout</v>
          </cell>
          <cell r="D475" t="str">
            <v>ELC35</v>
          </cell>
          <cell r="I475">
            <v>8.890550254674565E-3</v>
          </cell>
          <cell r="J475">
            <v>9.4890766805761067E-3</v>
          </cell>
        </row>
        <row r="476">
          <cell r="B476" t="str">
            <v>CHPGFC</v>
          </cell>
          <cell r="C476" t="str">
            <v>VAR_fout</v>
          </cell>
          <cell r="D476" t="str">
            <v>LTH</v>
          </cell>
          <cell r="I476">
            <v>1.1335451574710081E-2</v>
          </cell>
          <cell r="J476">
            <v>1.2573026601763354E-2</v>
          </cell>
        </row>
        <row r="477">
          <cell r="B477" t="str">
            <v>CHPGFC</v>
          </cell>
          <cell r="C477" t="str">
            <v>VAR_fout</v>
          </cell>
          <cell r="D477" t="str">
            <v>CO2_E</v>
          </cell>
          <cell r="I477">
            <v>1.25356758590911</v>
          </cell>
          <cell r="J477">
            <v>1.3379598119612299</v>
          </cell>
        </row>
        <row r="478">
          <cell r="B478" t="str">
            <v>CHPGFC</v>
          </cell>
          <cell r="C478" t="str">
            <v>VAR_fin</v>
          </cell>
          <cell r="D478" t="str">
            <v>ENGA</v>
          </cell>
          <cell r="I478">
            <v>2.2226375636686432E-2</v>
          </cell>
          <cell r="J478">
            <v>2.372269170144025E-2</v>
          </cell>
        </row>
        <row r="479">
          <cell r="B479" t="str">
            <v>CHPGFC</v>
          </cell>
          <cell r="C479" t="str">
            <v>VAR_ncap</v>
          </cell>
          <cell r="D479" t="str">
            <v>-</v>
          </cell>
          <cell r="I479">
            <v>1.24860165011013E-3</v>
          </cell>
          <cell r="J479">
            <v>1.85080354442652E-4</v>
          </cell>
        </row>
        <row r="480">
          <cell r="B480" t="str">
            <v>CHPGFC</v>
          </cell>
          <cell r="C480" t="str">
            <v>VAR_cap</v>
          </cell>
          <cell r="D480" t="str">
            <v>-</v>
          </cell>
          <cell r="I480">
            <v>1.24860165011013E-3</v>
          </cell>
          <cell r="J480">
            <v>1.4323098140733238E-3</v>
          </cell>
        </row>
        <row r="481">
          <cell r="B481" t="str">
            <v>G-INTC5</v>
          </cell>
          <cell r="C481" t="str">
            <v>VAR_fout</v>
          </cell>
          <cell r="D481" t="str">
            <v>ELC5</v>
          </cell>
          <cell r="E481">
            <v>260.35135178809469</v>
          </cell>
          <cell r="F481">
            <v>118.87184510772073</v>
          </cell>
          <cell r="G481">
            <v>107.45749444160968</v>
          </cell>
          <cell r="H481">
            <v>134.31754058029532</v>
          </cell>
          <cell r="I481">
            <v>128.90690003547579</v>
          </cell>
          <cell r="J481">
            <v>111.99587684782915</v>
          </cell>
        </row>
        <row r="482">
          <cell r="B482" t="str">
            <v>G-INTC5</v>
          </cell>
          <cell r="C482" t="str">
            <v>VAR_fout</v>
          </cell>
          <cell r="D482" t="str">
            <v>ELC13</v>
          </cell>
          <cell r="E482">
            <v>2.0150290774725104</v>
          </cell>
          <cell r="F482">
            <v>3.3111676844464775E-2</v>
          </cell>
          <cell r="G482">
            <v>8.4673451177265935E-2</v>
          </cell>
          <cell r="H482">
            <v>7.2503302680582268E-4</v>
          </cell>
          <cell r="I482">
            <v>7.5802640237385647E-3</v>
          </cell>
          <cell r="J482">
            <v>0.31940223094091497</v>
          </cell>
        </row>
        <row r="483">
          <cell r="B483" t="str">
            <v>G-INTC5</v>
          </cell>
          <cell r="C483" t="str">
            <v>VAR_fin</v>
          </cell>
          <cell r="D483" t="str">
            <v>ELC35</v>
          </cell>
          <cell r="E483">
            <v>270.65288705012756</v>
          </cell>
          <cell r="F483">
            <v>124.52834008938589</v>
          </cell>
          <cell r="G483">
            <v>112.38368216326248</v>
          </cell>
          <cell r="H483">
            <v>139.85923536124028</v>
          </cell>
          <cell r="I483">
            <v>133.27166739404441</v>
          </cell>
          <cell r="J483">
            <v>115.28618778091933</v>
          </cell>
        </row>
        <row r="484">
          <cell r="B484" t="str">
            <v>G-INTC5</v>
          </cell>
          <cell r="C484" t="str">
            <v>VAR_ncap</v>
          </cell>
          <cell r="D484" t="str">
            <v>-</v>
          </cell>
          <cell r="E484">
            <v>6.6372265287811696E-6</v>
          </cell>
          <cell r="F484">
            <v>7.1094621273863502E-6</v>
          </cell>
          <cell r="G484">
            <v>9.1181416007337306E-6</v>
          </cell>
          <cell r="H484">
            <v>9.9701558864385802E-6</v>
          </cell>
          <cell r="I484">
            <v>8.1431494064044793E-6</v>
          </cell>
          <cell r="J484">
            <v>2.26377067389791E-5</v>
          </cell>
        </row>
        <row r="485">
          <cell r="B485" t="str">
            <v>G-INTC5</v>
          </cell>
          <cell r="C485" t="str">
            <v>VAR_cap</v>
          </cell>
          <cell r="D485" t="str">
            <v>-</v>
          </cell>
          <cell r="E485">
            <v>12.649263788401001</v>
          </cell>
          <cell r="F485">
            <v>12.649263788401001</v>
          </cell>
          <cell r="G485">
            <v>12.649263788401001</v>
          </cell>
          <cell r="H485">
            <v>12.64927033728258</v>
          </cell>
          <cell r="I485">
            <v>12.649296623387144</v>
          </cell>
          <cell r="J485">
            <v>12.649312060192942</v>
          </cell>
        </row>
        <row r="486">
          <cell r="B486" t="str">
            <v>D-SLFO</v>
          </cell>
          <cell r="C486" t="str">
            <v>VAR_fout</v>
          </cell>
          <cell r="D486" t="str">
            <v>CO2</v>
          </cell>
          <cell r="E486">
            <v>2267.7898205700799</v>
          </cell>
          <cell r="F486">
            <v>2086.9216849924601</v>
          </cell>
          <cell r="G486">
            <v>1827.38071846405</v>
          </cell>
          <cell r="H486">
            <v>915.64795641270098</v>
          </cell>
          <cell r="I486">
            <v>172.35154284727301</v>
          </cell>
          <cell r="J486">
            <v>8.9563674578452303E-3</v>
          </cell>
        </row>
        <row r="487">
          <cell r="B487" t="str">
            <v>D-SLFO</v>
          </cell>
          <cell r="C487" t="str">
            <v>VAR_fout</v>
          </cell>
          <cell r="D487" t="str">
            <v>SLFO</v>
          </cell>
          <cell r="E487">
            <v>30.256649765192773</v>
          </cell>
          <cell r="F487">
            <v>27.843523212539019</v>
          </cell>
          <cell r="G487">
            <v>24.383136819351353</v>
          </cell>
          <cell r="H487">
            <v>12.221450195201431</v>
          </cell>
          <cell r="I487">
            <v>2.3038032459509425</v>
          </cell>
          <cell r="J487">
            <v>7.6736228021684588E-2</v>
          </cell>
        </row>
        <row r="488">
          <cell r="B488" t="str">
            <v>D-SLFO</v>
          </cell>
          <cell r="C488" t="str">
            <v>VAR_fin</v>
          </cell>
          <cell r="D488" t="str">
            <v>LFO</v>
          </cell>
          <cell r="E488">
            <v>30.77055387476365</v>
          </cell>
          <cell r="F488">
            <v>28.316440773303338</v>
          </cell>
          <cell r="G488">
            <v>24.794853710502739</v>
          </cell>
          <cell r="H488">
            <v>12.423988553767998</v>
          </cell>
          <cell r="I488">
            <v>2.3385555338843047</v>
          </cell>
          <cell r="J488">
            <v>1.215246602149962E-4</v>
          </cell>
        </row>
        <row r="489">
          <cell r="B489" t="str">
            <v>D-SLFO</v>
          </cell>
          <cell r="C489" t="str">
            <v>VAR_fin</v>
          </cell>
          <cell r="D489" t="str">
            <v>BDS</v>
          </cell>
          <cell r="G489">
            <v>2.4323497392875751E-3</v>
          </cell>
          <cell r="H489">
            <v>5.0646743848076414E-3</v>
          </cell>
          <cell r="I489">
            <v>4.4123056157242191E-3</v>
          </cell>
          <cell r="J489">
            <v>7.7967852243307365E-2</v>
          </cell>
        </row>
        <row r="490">
          <cell r="B490" t="str">
            <v>D-RCOA</v>
          </cell>
          <cell r="C490" t="str">
            <v>VAR_fout</v>
          </cell>
          <cell r="D490" t="str">
            <v>CO2</v>
          </cell>
          <cell r="E490">
            <v>9.2704595072800799</v>
          </cell>
          <cell r="F490">
            <v>9.2697133600879997</v>
          </cell>
          <cell r="G490">
            <v>2.4016128343345802</v>
          </cell>
        </row>
        <row r="491">
          <cell r="B491" t="str">
            <v>D-RCOA</v>
          </cell>
          <cell r="C491" t="str">
            <v>VAR_fout</v>
          </cell>
          <cell r="D491" t="str">
            <v>RCOA</v>
          </cell>
          <cell r="E491">
            <v>0.10000495692858771</v>
          </cell>
          <cell r="F491">
            <v>9.9996907875814334E-2</v>
          </cell>
          <cell r="G491">
            <v>2.5907366066176715E-2</v>
          </cell>
        </row>
        <row r="492">
          <cell r="B492" t="str">
            <v>D-RCOA</v>
          </cell>
          <cell r="C492" t="str">
            <v>VAR_fin</v>
          </cell>
          <cell r="D492" t="str">
            <v>COA</v>
          </cell>
          <cell r="E492">
            <v>0.10000495692858771</v>
          </cell>
          <cell r="F492">
            <v>9.9996907875814334E-2</v>
          </cell>
          <cell r="G492">
            <v>2.5907366066176715E-2</v>
          </cell>
        </row>
        <row r="493">
          <cell r="B493" t="str">
            <v>EHYD-RUN00</v>
          </cell>
          <cell r="C493" t="str">
            <v>VAR_fout</v>
          </cell>
          <cell r="D493" t="str">
            <v>ELC13</v>
          </cell>
          <cell r="E493">
            <v>54.392412666731197</v>
          </cell>
          <cell r="F493">
            <v>43.401190128489546</v>
          </cell>
          <cell r="G493">
            <v>53.26885429032577</v>
          </cell>
          <cell r="H493">
            <v>52.176260267649539</v>
          </cell>
          <cell r="I493">
            <v>49.984867238667434</v>
          </cell>
          <cell r="J493">
            <v>47.800403065616131</v>
          </cell>
        </row>
        <row r="494">
          <cell r="B494" t="str">
            <v>EHYD-RUN00</v>
          </cell>
          <cell r="C494" t="str">
            <v>VAR_fin</v>
          </cell>
          <cell r="D494" t="str">
            <v>HYDR</v>
          </cell>
          <cell r="E494">
            <v>54.392412666731197</v>
          </cell>
          <cell r="F494">
            <v>43.401190128489546</v>
          </cell>
          <cell r="G494">
            <v>53.26885429032577</v>
          </cell>
          <cell r="H494">
            <v>52.176260267649539</v>
          </cell>
          <cell r="I494">
            <v>49.984867238667434</v>
          </cell>
          <cell r="J494">
            <v>47.800403065616131</v>
          </cell>
        </row>
        <row r="495">
          <cell r="B495" t="str">
            <v>EHYD-RUN00</v>
          </cell>
          <cell r="C495" t="str">
            <v>VAR_cap</v>
          </cell>
          <cell r="D495" t="str">
            <v>-</v>
          </cell>
          <cell r="E495">
            <v>3.86687</v>
          </cell>
          <cell r="F495">
            <v>3.9240852000672399</v>
          </cell>
          <cell r="G495">
            <v>3.9610124303882599</v>
          </cell>
          <cell r="H495">
            <v>3.9647700000000001</v>
          </cell>
          <cell r="I495">
            <v>3.9647700000000001</v>
          </cell>
          <cell r="J495">
            <v>3.9647700000000001</v>
          </cell>
        </row>
        <row r="496">
          <cell r="B496" t="str">
            <v>HPLELCHP</v>
          </cell>
          <cell r="C496" t="str">
            <v>VAR_fout</v>
          </cell>
          <cell r="D496" t="str">
            <v>LTH</v>
          </cell>
          <cell r="F496">
            <v>2.448400715055175</v>
          </cell>
          <cell r="G496">
            <v>2.5226547697492161</v>
          </cell>
          <cell r="H496">
            <v>9.8718028061881586</v>
          </cell>
          <cell r="I496">
            <v>10.904617128321924</v>
          </cell>
          <cell r="J496">
            <v>12.045489832053024</v>
          </cell>
        </row>
        <row r="497">
          <cell r="B497" t="str">
            <v>HPLELCHP</v>
          </cell>
          <cell r="C497" t="str">
            <v>VAR_fin</v>
          </cell>
          <cell r="D497" t="str">
            <v>ELC35</v>
          </cell>
          <cell r="F497">
            <v>0.84427610863971569</v>
          </cell>
          <cell r="G497">
            <v>0.8698809550859351</v>
          </cell>
          <cell r="H497">
            <v>3.4040699331683277</v>
          </cell>
          <cell r="I497">
            <v>3.7602128028696291</v>
          </cell>
          <cell r="J497">
            <v>4.1536171834665563</v>
          </cell>
        </row>
        <row r="498">
          <cell r="B498" t="str">
            <v>HPLELCHP</v>
          </cell>
          <cell r="C498" t="str">
            <v>VAR_fin</v>
          </cell>
          <cell r="D498" t="str">
            <v>WWTPCC</v>
          </cell>
          <cell r="F498">
            <v>4.89680143011035</v>
          </cell>
          <cell r="G498">
            <v>5.0453095394984304</v>
          </cell>
          <cell r="H498">
            <v>19.7436056123763</v>
          </cell>
          <cell r="I498">
            <v>21.809234256643801</v>
          </cell>
          <cell r="J498">
            <v>24.090979664106001</v>
          </cell>
        </row>
        <row r="499">
          <cell r="B499" t="str">
            <v>HPLELCHP</v>
          </cell>
          <cell r="C499" t="str">
            <v>VAR_ncap</v>
          </cell>
          <cell r="D499" t="str">
            <v>-</v>
          </cell>
          <cell r="F499">
            <v>0.15087946093824101</v>
          </cell>
          <cell r="G499">
            <v>4.5787188414912203E-3</v>
          </cell>
          <cell r="H499">
            <v>0.45245465636538601</v>
          </cell>
          <cell r="I499">
            <v>0.1052074123249</v>
          </cell>
          <cell r="J499">
            <v>0.49523287228461299</v>
          </cell>
        </row>
        <row r="500">
          <cell r="B500" t="str">
            <v>HPLELCHP</v>
          </cell>
          <cell r="C500" t="str">
            <v>VAR_cap</v>
          </cell>
          <cell r="D500" t="str">
            <v>-</v>
          </cell>
          <cell r="F500">
            <v>0.15087946093824101</v>
          </cell>
          <cell r="G500">
            <v>0.15545786546928489</v>
          </cell>
          <cell r="H500">
            <v>0.60791216102782586</v>
          </cell>
          <cell r="I500">
            <v>0.67154077875273022</v>
          </cell>
          <cell r="J500">
            <v>0.74285237101209756</v>
          </cell>
        </row>
        <row r="501">
          <cell r="B501" t="str">
            <v>D-ITOT_LTH</v>
          </cell>
          <cell r="C501" t="str">
            <v>VAR_fout</v>
          </cell>
          <cell r="D501" t="str">
            <v>ITOT_LTH_DH</v>
          </cell>
          <cell r="E501">
            <v>7.1200673109833792</v>
          </cell>
          <cell r="F501">
            <v>7.6289164632415227</v>
          </cell>
          <cell r="G501">
            <v>7.2954875400158619</v>
          </cell>
          <cell r="H501">
            <v>5.9248680107740039</v>
          </cell>
          <cell r="I501">
            <v>5.1952321894646909</v>
          </cell>
          <cell r="J501">
            <v>7.414873283812903</v>
          </cell>
        </row>
        <row r="502">
          <cell r="B502" t="str">
            <v>D-ITOT_LTH</v>
          </cell>
          <cell r="C502" t="str">
            <v>VAR_fin</v>
          </cell>
          <cell r="D502" t="str">
            <v>LTH</v>
          </cell>
          <cell r="E502">
            <v>7.7404088660493571</v>
          </cell>
          <cell r="F502">
            <v>8.2914122511698594</v>
          </cell>
          <cell r="G502">
            <v>7.925903795427681</v>
          </cell>
          <cell r="H502">
            <v>6.4326217955990126</v>
          </cell>
          <cell r="I502">
            <v>5.6330626846491638</v>
          </cell>
          <cell r="J502">
            <v>8.0292390077835396</v>
          </cell>
        </row>
        <row r="503">
          <cell r="B503" t="str">
            <v>D-ITOT_LTH</v>
          </cell>
          <cell r="C503" t="str">
            <v>VAR_ncap</v>
          </cell>
          <cell r="D503" t="str">
            <v>-</v>
          </cell>
          <cell r="E503">
            <v>0.79547399791232498</v>
          </cell>
          <cell r="F503">
            <v>1.1510377557823901E-6</v>
          </cell>
          <cell r="G503">
            <v>1.30902555036193E-6</v>
          </cell>
          <cell r="H503">
            <v>1.1938045210098001E-6</v>
          </cell>
          <cell r="I503">
            <v>1.3688679905633299E-6</v>
          </cell>
          <cell r="J503">
            <v>2.0470920844743799E-6</v>
          </cell>
        </row>
        <row r="504">
          <cell r="B504" t="str">
            <v>D-ITOT_LTH</v>
          </cell>
          <cell r="C504" t="str">
            <v>VAR_cap</v>
          </cell>
          <cell r="D504" t="str">
            <v>-</v>
          </cell>
          <cell r="E504">
            <v>0.79547399791232498</v>
          </cell>
          <cell r="F504">
            <v>0.79547514895008098</v>
          </cell>
          <cell r="G504">
            <v>0.79547645797563105</v>
          </cell>
          <cell r="H504">
            <v>0.79547765178015195</v>
          </cell>
          <cell r="I504">
            <v>0.79548124462993297</v>
          </cell>
          <cell r="J504">
            <v>0.79548329172201804</v>
          </cell>
        </row>
        <row r="505">
          <cell r="B505" t="str">
            <v>D-IH2</v>
          </cell>
          <cell r="C505" t="str">
            <v>VAR_fout</v>
          </cell>
          <cell r="D505" t="str">
            <v>IH2</v>
          </cell>
          <cell r="I505">
            <v>0.79653882847847679</v>
          </cell>
          <cell r="J505">
            <v>4.7668947982160423</v>
          </cell>
        </row>
        <row r="506">
          <cell r="B506" t="str">
            <v>D-IH2</v>
          </cell>
          <cell r="C506" t="str">
            <v>VAR_fin</v>
          </cell>
          <cell r="D506" t="str">
            <v>H2</v>
          </cell>
          <cell r="I506">
            <v>0.80260717034551021</v>
          </cell>
          <cell r="J506">
            <v>4.8032108524315174</v>
          </cell>
        </row>
        <row r="507">
          <cell r="B507" t="str">
            <v>D-IH2</v>
          </cell>
          <cell r="C507" t="str">
            <v>VAR_ncap</v>
          </cell>
          <cell r="D507" t="str">
            <v>-</v>
          </cell>
          <cell r="H507">
            <v>6.9936041469029598E-6</v>
          </cell>
          <cell r="I507">
            <v>5.1687562857581401E-2</v>
          </cell>
          <cell r="J507">
            <v>8.4886102524668605E-2</v>
          </cell>
        </row>
        <row r="508">
          <cell r="B508" t="str">
            <v>D-IH2</v>
          </cell>
          <cell r="C508" t="str">
            <v>VAR_cap</v>
          </cell>
          <cell r="D508" t="str">
            <v>-</v>
          </cell>
          <cell r="H508">
            <v>6.9936041469029598E-6</v>
          </cell>
          <cell r="I508">
            <v>9.0780307451837697E-2</v>
          </cell>
          <cell r="J508">
            <v>0.17566640997650601</v>
          </cell>
        </row>
        <row r="509">
          <cell r="B509" t="str">
            <v>RHEM-ESOLPV</v>
          </cell>
          <cell r="C509" t="str">
            <v>VAR_fout</v>
          </cell>
          <cell r="D509" t="str">
            <v>RHEM_SOL_ELC</v>
          </cell>
          <cell r="E509">
            <v>0.86248322578584768</v>
          </cell>
          <cell r="F509">
            <v>1.287582729505639</v>
          </cell>
          <cell r="G509">
            <v>1.8020658667780145</v>
          </cell>
          <cell r="H509">
            <v>1.9538831573134183</v>
          </cell>
          <cell r="I509">
            <v>2.1585446683294394</v>
          </cell>
          <cell r="J509">
            <v>2.384624287533311</v>
          </cell>
        </row>
        <row r="510">
          <cell r="B510" t="str">
            <v>RHEM-ESOLPV</v>
          </cell>
          <cell r="C510" t="str">
            <v>VAR_fin</v>
          </cell>
          <cell r="D510" t="str">
            <v>SOL</v>
          </cell>
          <cell r="E510">
            <v>0.86248322578584768</v>
          </cell>
          <cell r="F510">
            <v>1.287582729505639</v>
          </cell>
          <cell r="G510">
            <v>1.8020658667780145</v>
          </cell>
          <cell r="H510">
            <v>1.9538831573134183</v>
          </cell>
          <cell r="I510">
            <v>2.1585446683294394</v>
          </cell>
          <cell r="J510">
            <v>2.384624287533311</v>
          </cell>
        </row>
        <row r="511">
          <cell r="B511" t="str">
            <v>RHEM-ESOLPV</v>
          </cell>
          <cell r="C511" t="str">
            <v>VAR_fin</v>
          </cell>
          <cell r="D511" t="str">
            <v>SOLPVC</v>
          </cell>
          <cell r="E511">
            <v>0.86248322578584802</v>
          </cell>
          <cell r="F511">
            <v>1.2875827295056399</v>
          </cell>
          <cell r="G511">
            <v>1.8020658667780101</v>
          </cell>
          <cell r="H511">
            <v>1.9538831573134201</v>
          </cell>
          <cell r="I511">
            <v>2.1585446683294398</v>
          </cell>
          <cell r="J511">
            <v>2.3846242875333101</v>
          </cell>
        </row>
        <row r="512">
          <cell r="B512" t="str">
            <v>RHEM-ESOLPV</v>
          </cell>
          <cell r="C512" t="str">
            <v>VAR_ncap</v>
          </cell>
          <cell r="D512" t="str">
            <v>-</v>
          </cell>
          <cell r="F512">
            <v>5.3251679344533298E-8</v>
          </cell>
          <cell r="G512">
            <v>9.1819735144468201E-2</v>
          </cell>
          <cell r="H512">
            <v>6.0182554836557501E-6</v>
          </cell>
          <cell r="I512">
            <v>0.25522972552239498</v>
          </cell>
          <cell r="J512">
            <v>0.33879214950543901</v>
          </cell>
        </row>
        <row r="513">
          <cell r="B513" t="str">
            <v>RHEM-ESOLPV</v>
          </cell>
          <cell r="C513" t="str">
            <v>VAR_cap</v>
          </cell>
          <cell r="D513" t="str">
            <v>-</v>
          </cell>
          <cell r="E513">
            <v>0.27424799999999999</v>
          </cell>
          <cell r="F513">
            <v>0.43894537072809237</v>
          </cell>
          <cell r="G513">
            <v>0.57496778839614759</v>
          </cell>
          <cell r="H513">
            <v>0.56324901891111323</v>
          </cell>
          <cell r="I513">
            <v>0.62224725024754801</v>
          </cell>
          <cell r="J513">
            <v>0.687418820182922</v>
          </cell>
        </row>
        <row r="514">
          <cell r="B514" t="str">
            <v>HPLNUC</v>
          </cell>
          <cell r="C514" t="str">
            <v>VAR_fout</v>
          </cell>
          <cell r="D514" t="str">
            <v>LTH</v>
          </cell>
          <cell r="E514">
            <v>1.4500335445665617</v>
          </cell>
          <cell r="F514">
            <v>3.8009267940464406</v>
          </cell>
          <cell r="G514">
            <v>3.7972475666171479</v>
          </cell>
          <cell r="H514">
            <v>0.97504718505520127</v>
          </cell>
        </row>
        <row r="515">
          <cell r="B515" t="str">
            <v>HPLNUC</v>
          </cell>
          <cell r="C515" t="str">
            <v>VAR_fin</v>
          </cell>
          <cell r="D515" t="str">
            <v>URN</v>
          </cell>
          <cell r="E515">
            <v>1.4500335445665617</v>
          </cell>
          <cell r="F515">
            <v>3.8009267940464406</v>
          </cell>
          <cell r="G515">
            <v>3.7972475666171479</v>
          </cell>
          <cell r="H515">
            <v>0.97504718505520127</v>
          </cell>
        </row>
        <row r="516">
          <cell r="B516" t="str">
            <v>HPLNUC</v>
          </cell>
          <cell r="C516" t="str">
            <v>VAR_cap</v>
          </cell>
          <cell r="D516" t="str">
            <v>-</v>
          </cell>
          <cell r="E516">
            <v>0.120558721922211</v>
          </cell>
          <cell r="F516">
            <v>0.120558721922211</v>
          </cell>
          <cell r="G516">
            <v>0.120558721922211</v>
          </cell>
          <cell r="H516">
            <v>0.11197225056919</v>
          </cell>
          <cell r="I516">
            <v>1.56851844506808E-2</v>
          </cell>
        </row>
        <row r="517">
          <cell r="B517" t="str">
            <v>ITOT-CHPWODCCS</v>
          </cell>
          <cell r="C517" t="str">
            <v>VAR_fout</v>
          </cell>
          <cell r="D517" t="str">
            <v>CO2_O</v>
          </cell>
          <cell r="I517">
            <v>654.51098885118745</v>
          </cell>
          <cell r="J517">
            <v>1012.1993217149779</v>
          </cell>
        </row>
        <row r="518">
          <cell r="B518" t="str">
            <v>ITOT-CHPWODCCS</v>
          </cell>
          <cell r="C518" t="str">
            <v>VAR_fout</v>
          </cell>
          <cell r="D518" t="str">
            <v>CO2</v>
          </cell>
          <cell r="I518">
            <v>-654.51098885118699</v>
          </cell>
          <cell r="J518">
            <v>-1012.19932171498</v>
          </cell>
        </row>
        <row r="519">
          <cell r="B519" t="str">
            <v>ITOT-CHPWODCCS</v>
          </cell>
          <cell r="C519" t="str">
            <v>VAR_fout</v>
          </cell>
          <cell r="D519" t="str">
            <v>ITOT_LTH_CHP</v>
          </cell>
          <cell r="I519">
            <v>4.6593795211408304</v>
          </cell>
          <cell r="J519">
            <v>7.5034736333162577</v>
          </cell>
        </row>
        <row r="520">
          <cell r="B520" t="str">
            <v>ITOT-CHPWODCCS</v>
          </cell>
          <cell r="C520" t="str">
            <v>VAR_fout</v>
          </cell>
          <cell r="D520" t="str">
            <v>ITOT_KEV_WOD_ELC_CHP</v>
          </cell>
          <cell r="I520">
            <v>2.2026157736302046</v>
          </cell>
          <cell r="J520">
            <v>3.5470966266585848</v>
          </cell>
        </row>
        <row r="521">
          <cell r="B521" t="str">
            <v>ITOT-CHPWODCCS</v>
          </cell>
          <cell r="C521" t="str">
            <v>VAR_fin</v>
          </cell>
          <cell r="D521" t="str">
            <v>IWOD</v>
          </cell>
          <cell r="I521">
            <v>6.5976446873362793</v>
          </cell>
          <cell r="J521">
            <v>10.168419270415674</v>
          </cell>
        </row>
        <row r="522">
          <cell r="B522" t="str">
            <v>ITOT-CHPWODCCS</v>
          </cell>
          <cell r="C522" t="str">
            <v>VAR_ncap</v>
          </cell>
          <cell r="D522" t="str">
            <v>-</v>
          </cell>
          <cell r="I522">
            <v>0.119247903172018</v>
          </cell>
          <cell r="J522">
            <v>6.5104622825018998E-2</v>
          </cell>
        </row>
        <row r="523">
          <cell r="B523" t="str">
            <v>ITOT-CHPWODCCS</v>
          </cell>
          <cell r="C523" t="str">
            <v>VAR_cap</v>
          </cell>
          <cell r="D523" t="str">
            <v>-</v>
          </cell>
          <cell r="I523">
            <v>0.119247903172018</v>
          </cell>
          <cell r="J523">
            <v>0.15164682380884001</v>
          </cell>
        </row>
        <row r="524">
          <cell r="B524" t="str">
            <v>SUP_WODBIO</v>
          </cell>
          <cell r="C524" t="str">
            <v>VAR_fout</v>
          </cell>
          <cell r="D524" t="str">
            <v>ELC35</v>
          </cell>
          <cell r="F524">
            <v>5.4673772781564205E-3</v>
          </cell>
          <cell r="G524">
            <v>2.5081947092110192E-4</v>
          </cell>
          <cell r="H524">
            <v>2.633227544312958E-2</v>
          </cell>
          <cell r="I524">
            <v>2.6349185341946944E-2</v>
          </cell>
          <cell r="J524">
            <v>2.5193546182523591E-2</v>
          </cell>
        </row>
        <row r="525">
          <cell r="B525" t="str">
            <v>SUP_WODBIO</v>
          </cell>
          <cell r="C525" t="str">
            <v>VAR_fout</v>
          </cell>
          <cell r="D525" t="str">
            <v>BIO</v>
          </cell>
          <cell r="F525">
            <v>0.13668443195391022</v>
          </cell>
          <cell r="G525">
            <v>6.27048677302754E-3</v>
          </cell>
          <cell r="H525">
            <v>0.6583068860782384</v>
          </cell>
          <cell r="I525">
            <v>0.65872963354867209</v>
          </cell>
          <cell r="J525">
            <v>0.62983865456308863</v>
          </cell>
        </row>
        <row r="526">
          <cell r="B526" t="str">
            <v>SUP_WODBIO</v>
          </cell>
          <cell r="C526" t="str">
            <v>VAR_fout</v>
          </cell>
          <cell r="D526" t="str">
            <v>LTH</v>
          </cell>
          <cell r="F526">
            <v>1.6402131834469248E-2</v>
          </cell>
          <cell r="G526">
            <v>7.5245841276330445E-4</v>
          </cell>
          <cell r="H526">
            <v>7.8996826329388634E-2</v>
          </cell>
          <cell r="I526">
            <v>7.9047556025840793E-2</v>
          </cell>
          <cell r="J526">
            <v>7.5580638547570689E-2</v>
          </cell>
        </row>
        <row r="527">
          <cell r="B527" t="str">
            <v>SUP_WODBIO</v>
          </cell>
          <cell r="C527" t="str">
            <v>VAR_fin</v>
          </cell>
          <cell r="D527" t="str">
            <v>CWOD</v>
          </cell>
          <cell r="F527">
            <v>0.18452398313777893</v>
          </cell>
          <cell r="G527">
            <v>8.4651571435871795E-3</v>
          </cell>
          <cell r="H527">
            <v>0.88871429620562237</v>
          </cell>
          <cell r="I527">
            <v>0.8892850052907082</v>
          </cell>
          <cell r="J527">
            <v>0.85028218366017083</v>
          </cell>
        </row>
        <row r="528">
          <cell r="B528" t="str">
            <v>SUP_WODBIO</v>
          </cell>
          <cell r="C528" t="str">
            <v>VAR_ncap</v>
          </cell>
          <cell r="D528" t="str">
            <v>-</v>
          </cell>
          <cell r="E528">
            <v>1.1757669409884699E-5</v>
          </cell>
          <cell r="F528">
            <v>5.5060331565614301E-3</v>
          </cell>
          <cell r="G528">
            <v>1.75000605862145E-5</v>
          </cell>
          <cell r="H528">
            <v>2.10029860197407E-2</v>
          </cell>
          <cell r="I528">
            <v>2.4423222162535401E-3</v>
          </cell>
          <cell r="J528">
            <v>1.73562366504546E-2</v>
          </cell>
        </row>
        <row r="529">
          <cell r="B529" t="str">
            <v>SUP_WODBIO</v>
          </cell>
          <cell r="C529" t="str">
            <v>VAR_cap</v>
          </cell>
          <cell r="D529" t="str">
            <v>-</v>
          </cell>
          <cell r="E529">
            <v>1.1757669409884699E-5</v>
          </cell>
          <cell r="F529">
            <v>5.5170771797175746E-3</v>
          </cell>
          <cell r="G529">
            <v>5.5311521453702585E-3</v>
          </cell>
          <cell r="H529">
            <v>2.6531655248803316E-2</v>
          </cell>
          <cell r="I529">
            <v>2.6541498553261673E-2</v>
          </cell>
          <cell r="J529">
            <v>2.539505573979834E-2</v>
          </cell>
        </row>
        <row r="530">
          <cell r="B530" t="str">
            <v>D-RLFO</v>
          </cell>
          <cell r="C530" t="str">
            <v>VAR_fout</v>
          </cell>
          <cell r="D530" t="str">
            <v>CO2</v>
          </cell>
          <cell r="E530">
            <v>4514.4906506564103</v>
          </cell>
          <cell r="F530">
            <v>3846.5303550070598</v>
          </cell>
          <cell r="G530">
            <v>3549.0163072932201</v>
          </cell>
          <cell r="H530">
            <v>1561.6635510880201</v>
          </cell>
          <cell r="I530">
            <v>216.070003714384</v>
          </cell>
          <cell r="J530">
            <v>8.9598321802067601E-3</v>
          </cell>
        </row>
        <row r="531">
          <cell r="B531" t="str">
            <v>D-RLFO</v>
          </cell>
          <cell r="C531" t="str">
            <v>VAR_fout</v>
          </cell>
          <cell r="D531" t="str">
            <v>RLFO</v>
          </cell>
          <cell r="E531">
            <v>60.231932098015704</v>
          </cell>
          <cell r="F531">
            <v>51.320065337172437</v>
          </cell>
          <cell r="G531">
            <v>47.353099205234173</v>
          </cell>
          <cell r="H531">
            <v>20.84073571662779</v>
          </cell>
          <cell r="I531">
            <v>2.8872898552338522</v>
          </cell>
          <cell r="J531">
            <v>0.16029525115129445</v>
          </cell>
        </row>
        <row r="532">
          <cell r="B532" t="str">
            <v>D-RLFO</v>
          </cell>
          <cell r="C532" t="str">
            <v>VAR_fin</v>
          </cell>
          <cell r="D532" t="str">
            <v>LFO</v>
          </cell>
          <cell r="E532">
            <v>61.254961338621641</v>
          </cell>
          <cell r="F532">
            <v>52.191728019091641</v>
          </cell>
          <cell r="G532">
            <v>48.154902405606869</v>
          </cell>
          <cell r="H532">
            <v>21.189464736608141</v>
          </cell>
          <cell r="I532">
            <v>2.931750389611731</v>
          </cell>
          <cell r="J532">
            <v>1.2157167137322599E-4</v>
          </cell>
        </row>
        <row r="533">
          <cell r="B533" t="str">
            <v>D-RLFO</v>
          </cell>
          <cell r="C533" t="str">
            <v>VAR_fin</v>
          </cell>
          <cell r="D533" t="str">
            <v>BDS</v>
          </cell>
          <cell r="G533">
            <v>2.4822630342602376E-3</v>
          </cell>
          <cell r="H533">
            <v>5.2491000579737782E-3</v>
          </cell>
          <cell r="I533">
            <v>4.5826235605108375E-3</v>
          </cell>
          <cell r="J533">
            <v>0.1628983689568812</v>
          </cell>
        </row>
        <row r="534">
          <cell r="B534" t="str">
            <v>G-INTC-EXP00-IT</v>
          </cell>
          <cell r="C534" t="str">
            <v>VAR_fout</v>
          </cell>
          <cell r="D534" t="str">
            <v>ELC_E-IT</v>
          </cell>
          <cell r="E534">
            <v>71.694108126754529</v>
          </cell>
          <cell r="F534">
            <v>35.774133337415229</v>
          </cell>
          <cell r="G534">
            <v>53.344851278387836</v>
          </cell>
          <cell r="H534">
            <v>24.042759770341849</v>
          </cell>
          <cell r="I534">
            <v>13.676603104925908</v>
          </cell>
          <cell r="J534">
            <v>14.13953905191566</v>
          </cell>
        </row>
        <row r="535">
          <cell r="B535" t="str">
            <v>G-INTC-EXP00-IT</v>
          </cell>
          <cell r="C535" t="str">
            <v>VAR_fin</v>
          </cell>
          <cell r="D535" t="str">
            <v>ELC</v>
          </cell>
          <cell r="E535">
            <v>71.694108126754529</v>
          </cell>
          <cell r="F535">
            <v>35.774133337415229</v>
          </cell>
          <cell r="G535">
            <v>53.344851278387836</v>
          </cell>
          <cell r="H535">
            <v>24.042759770341849</v>
          </cell>
          <cell r="I535">
            <v>13.676603104925908</v>
          </cell>
          <cell r="J535">
            <v>14.13953905191566</v>
          </cell>
        </row>
        <row r="536">
          <cell r="B536" t="str">
            <v>G-INTC-EXP00-IT</v>
          </cell>
          <cell r="C536" t="str">
            <v>VAR_ncap</v>
          </cell>
          <cell r="D536" t="str">
            <v>-</v>
          </cell>
          <cell r="E536">
            <v>1.44604676951598E-5</v>
          </cell>
          <cell r="F536">
            <v>1.30315947844339E-5</v>
          </cell>
          <cell r="G536">
            <v>1.64888379764905E-5</v>
          </cell>
          <cell r="H536">
            <v>1.26315414196298E-5</v>
          </cell>
          <cell r="I536">
            <v>1.22789779996015E-5</v>
          </cell>
          <cell r="J536">
            <v>1.6171004431629398E-5</v>
          </cell>
        </row>
        <row r="537">
          <cell r="B537" t="str">
            <v>G-INTC-EXP00-IT</v>
          </cell>
          <cell r="C537" t="str">
            <v>VAR_cap</v>
          </cell>
          <cell r="D537" t="str">
            <v>-</v>
          </cell>
          <cell r="E537">
            <v>3.6856338230628722</v>
          </cell>
          <cell r="F537">
            <v>3.6851757577310669</v>
          </cell>
          <cell r="G537">
            <v>3.6851617690278311</v>
          </cell>
          <cell r="H537">
            <v>3.6851638340141357</v>
          </cell>
          <cell r="I537">
            <v>2.3999986929488557</v>
          </cell>
          <cell r="J537">
            <v>2.3999999496327478</v>
          </cell>
        </row>
        <row r="538">
          <cell r="B538" t="str">
            <v>EWOD-CCS</v>
          </cell>
          <cell r="C538" t="str">
            <v>VAR_fout</v>
          </cell>
          <cell r="D538" t="str">
            <v>CO2_O</v>
          </cell>
          <cell r="I538">
            <v>3.5132968940658573</v>
          </cell>
          <cell r="J538">
            <v>217.73050561714547</v>
          </cell>
        </row>
        <row r="539">
          <cell r="B539" t="str">
            <v>EWOD-CCS</v>
          </cell>
          <cell r="C539" t="str">
            <v>VAR_fout</v>
          </cell>
          <cell r="D539" t="str">
            <v>CO2</v>
          </cell>
          <cell r="I539">
            <v>-3.51329689406586</v>
          </cell>
          <cell r="J539">
            <v>-217.73050561714601</v>
          </cell>
        </row>
        <row r="540">
          <cell r="B540" t="str">
            <v>EWOD-CCS</v>
          </cell>
          <cell r="C540" t="str">
            <v>VAR_fout</v>
          </cell>
          <cell r="D540" t="str">
            <v>ELC13</v>
          </cell>
          <cell r="I540">
            <v>7.7866721285292581E-3</v>
          </cell>
          <cell r="J540">
            <v>0.4825655533078414</v>
          </cell>
        </row>
        <row r="541">
          <cell r="B541" t="str">
            <v>EWOD-CCS</v>
          </cell>
          <cell r="C541" t="str">
            <v>VAR_fin</v>
          </cell>
          <cell r="D541" t="str">
            <v>EWOD</v>
          </cell>
          <cell r="I541">
            <v>4.6729472847056808E-2</v>
          </cell>
          <cell r="J541">
            <v>1.8253267295697435</v>
          </cell>
        </row>
        <row r="542">
          <cell r="B542" t="str">
            <v>EWOD-CCS</v>
          </cell>
          <cell r="C542" t="str">
            <v>VAR_ncap</v>
          </cell>
          <cell r="D542" t="str">
            <v>-</v>
          </cell>
          <cell r="I542">
            <v>1.0947532132440799E-3</v>
          </cell>
          <cell r="J542">
            <v>1.9374355683254699E-2</v>
          </cell>
        </row>
        <row r="543">
          <cell r="B543" t="str">
            <v>EWOD-CCS</v>
          </cell>
          <cell r="C543" t="str">
            <v>VAR_cap</v>
          </cell>
          <cell r="D543" t="str">
            <v>-</v>
          </cell>
          <cell r="I543">
            <v>1.0947532132440799E-3</v>
          </cell>
          <cell r="J543">
            <v>2.0468795270294628E-2</v>
          </cell>
        </row>
        <row r="544">
          <cell r="B544" t="str">
            <v>EOIL-ENG</v>
          </cell>
          <cell r="C544" t="str">
            <v>VAR_fout</v>
          </cell>
          <cell r="D544" t="str">
            <v>ELC35</v>
          </cell>
          <cell r="E544">
            <v>3.9608410843525725E-2</v>
          </cell>
          <cell r="F544">
            <v>1.3921485683043286E-4</v>
          </cell>
          <cell r="G544">
            <v>9.3505894191459552E-3</v>
          </cell>
          <cell r="H544">
            <v>1.4216214410747597E-3</v>
          </cell>
          <cell r="I544">
            <v>2.50214481963484E-3</v>
          </cell>
          <cell r="J544">
            <v>3.7792216910265357E-5</v>
          </cell>
        </row>
        <row r="545">
          <cell r="B545" t="str">
            <v>EOIL-ENG</v>
          </cell>
          <cell r="C545" t="str">
            <v>VAR_fout</v>
          </cell>
          <cell r="D545" t="str">
            <v>CO2_E</v>
          </cell>
          <cell r="E545">
            <v>13.5085115024813</v>
          </cell>
          <cell r="F545">
            <v>0.397867506545594</v>
          </cell>
          <cell r="G545">
            <v>2.4573042079350298</v>
          </cell>
          <cell r="H545">
            <v>0.33529748253043001</v>
          </cell>
          <cell r="I545">
            <v>0.62085661520963698</v>
          </cell>
          <cell r="J545">
            <v>9.3741815712314706E-3</v>
          </cell>
        </row>
        <row r="546">
          <cell r="B546" t="str">
            <v>EOIL-ENG</v>
          </cell>
          <cell r="C546" t="str">
            <v>VAR_fin</v>
          </cell>
          <cell r="D546" t="str">
            <v>ELFO</v>
          </cell>
          <cell r="E546">
            <v>0.183290522421727</v>
          </cell>
          <cell r="F546">
            <v>5.3984736301980153E-3</v>
          </cell>
          <cell r="G546">
            <v>3.3341983825441429E-2</v>
          </cell>
          <cell r="H546">
            <v>4.5494909434250991E-3</v>
          </cell>
          <cell r="I546">
            <v>8.4241060408363246E-3</v>
          </cell>
          <cell r="J546">
            <v>1.2719377979961296E-4</v>
          </cell>
        </row>
        <row r="547">
          <cell r="B547" t="str">
            <v>EOIL-ENG</v>
          </cell>
          <cell r="C547" t="str">
            <v>VAR_ncap</v>
          </cell>
          <cell r="D547" t="str">
            <v>-</v>
          </cell>
          <cell r="F547">
            <v>7.0956156383885201E-5</v>
          </cell>
          <cell r="G547">
            <v>8.9984108515471697E-3</v>
          </cell>
          <cell r="H547">
            <v>2.7685888930999501E-3</v>
          </cell>
          <cell r="I547">
            <v>2.5066094867561201E-4</v>
          </cell>
          <cell r="J547">
            <v>6.9947963429179601E-5</v>
          </cell>
        </row>
        <row r="548">
          <cell r="B548" t="str">
            <v>EOIL-ENG</v>
          </cell>
          <cell r="C548" t="str">
            <v>VAR_cap</v>
          </cell>
          <cell r="D548" t="str">
            <v>-</v>
          </cell>
          <cell r="E548">
            <v>4.6976922687830103E-2</v>
          </cell>
          <cell r="F548">
            <v>2.2526674797233394E-2</v>
          </cell>
          <cell r="G548">
            <v>2.129832934350356E-2</v>
          </cell>
          <cell r="H548">
            <v>1.8800303524091795E-2</v>
          </cell>
          <cell r="I548">
            <v>4.228749455588135E-2</v>
          </cell>
          <cell r="J548">
            <v>2.4369221809542398E-2</v>
          </cell>
        </row>
        <row r="549">
          <cell r="B549" t="str">
            <v>D-SWOD</v>
          </cell>
          <cell r="C549" t="str">
            <v>VAR_fout</v>
          </cell>
          <cell r="D549" t="str">
            <v>SWOD</v>
          </cell>
          <cell r="E549">
            <v>8.5743842178766574</v>
          </cell>
          <cell r="F549">
            <v>7.2518812797906858</v>
          </cell>
          <cell r="G549">
            <v>9.6278817712407765</v>
          </cell>
          <cell r="H549">
            <v>8.2596194089506039</v>
          </cell>
          <cell r="I549">
            <v>4.3285624039559716</v>
          </cell>
          <cell r="J549">
            <v>1.7321039744441891</v>
          </cell>
        </row>
        <row r="550">
          <cell r="B550" t="str">
            <v>D-SWOD</v>
          </cell>
          <cell r="C550" t="str">
            <v>VAR_fin</v>
          </cell>
          <cell r="D550" t="str">
            <v>WOD</v>
          </cell>
          <cell r="E550">
            <v>8.5743842178766574</v>
          </cell>
          <cell r="F550">
            <v>7.2518812797906858</v>
          </cell>
          <cell r="G550">
            <v>9.6278817712407765</v>
          </cell>
          <cell r="H550">
            <v>8.2596194089506039</v>
          </cell>
          <cell r="I550">
            <v>4.3285624039559716</v>
          </cell>
          <cell r="J550">
            <v>1.7321039744441891</v>
          </cell>
        </row>
        <row r="551">
          <cell r="B551" t="str">
            <v>SCOM-CHPWOD</v>
          </cell>
          <cell r="C551" t="str">
            <v>VAR_fout</v>
          </cell>
          <cell r="D551" t="str">
            <v>SCOM_KEV_WOD_ELC_CHP</v>
          </cell>
          <cell r="H551">
            <v>5.9951465929474802E-4</v>
          </cell>
          <cell r="I551">
            <v>2.1477311390011557E-2</v>
          </cell>
          <cell r="J551">
            <v>3.778785611714605E-3</v>
          </cell>
        </row>
        <row r="552">
          <cell r="B552" t="str">
            <v>SCOM-CHPWOD</v>
          </cell>
          <cell r="C552" t="str">
            <v>VAR_fout</v>
          </cell>
          <cell r="D552" t="str">
            <v>SCOM_LTH_CHPWOD</v>
          </cell>
          <cell r="H552">
            <v>9.5812539362383578E-4</v>
          </cell>
          <cell r="I552">
            <v>3.2845666623165182E-2</v>
          </cell>
          <cell r="J552">
            <v>5.549509657598109E-3</v>
          </cell>
        </row>
        <row r="553">
          <cell r="B553" t="str">
            <v>SCOM-CHPWOD</v>
          </cell>
          <cell r="C553" t="str">
            <v>VAR_fin</v>
          </cell>
          <cell r="D553" t="str">
            <v>SWOD</v>
          </cell>
          <cell r="H553">
            <v>1.9211170695958982E-3</v>
          </cell>
          <cell r="I553">
            <v>7.7463777129251649E-2</v>
          </cell>
          <cell r="J553">
            <v>1.1971993416332895E-2</v>
          </cell>
        </row>
        <row r="554">
          <cell r="B554" t="str">
            <v>SCOM-CHPWOD</v>
          </cell>
          <cell r="C554" t="str">
            <v>VAR_ncap</v>
          </cell>
          <cell r="D554" t="str">
            <v>-</v>
          </cell>
          <cell r="H554">
            <v>9.7814552723228605E-5</v>
          </cell>
          <cell r="I554">
            <v>2.4741739984766001E-5</v>
          </cell>
          <cell r="J554">
            <v>6.8005931949245096E-6</v>
          </cell>
        </row>
        <row r="555">
          <cell r="B555" t="str">
            <v>SCOM-CHPWOD</v>
          </cell>
          <cell r="C555" t="str">
            <v>VAR_cap</v>
          </cell>
          <cell r="D555" t="str">
            <v>-</v>
          </cell>
          <cell r="H555">
            <v>9.7814552723228605E-5</v>
          </cell>
          <cell r="I555">
            <v>1.8078331215274778E-3</v>
          </cell>
          <cell r="J555">
            <v>6.1426503312946598E-4</v>
          </cell>
        </row>
        <row r="556">
          <cell r="B556" t="str">
            <v>ENUC_BMGL</v>
          </cell>
          <cell r="C556" t="str">
            <v>VAR_fout</v>
          </cell>
          <cell r="D556" t="str">
            <v>ELC</v>
          </cell>
          <cell r="E556">
            <v>32.820801696137373</v>
          </cell>
          <cell r="F556">
            <v>32.82034036110155</v>
          </cell>
          <cell r="G556">
            <v>31.446075502045122</v>
          </cell>
          <cell r="H556">
            <v>32.820799564581776</v>
          </cell>
          <cell r="I556">
            <v>32.820796383167128</v>
          </cell>
        </row>
        <row r="557">
          <cell r="B557" t="str">
            <v>ENUC_BMGL</v>
          </cell>
          <cell r="C557" t="str">
            <v>VAR_fin</v>
          </cell>
          <cell r="D557" t="str">
            <v>URN</v>
          </cell>
          <cell r="E557">
            <v>98.945504520041169</v>
          </cell>
          <cell r="F557">
            <v>98.944113724401987</v>
          </cell>
          <cell r="G557">
            <v>94.801090921899785</v>
          </cell>
          <cell r="H557">
            <v>98.945498093999333</v>
          </cell>
          <cell r="I557">
            <v>98.945488502927219</v>
          </cell>
        </row>
        <row r="558">
          <cell r="B558" t="str">
            <v>ENUC_BMGL</v>
          </cell>
          <cell r="C558" t="str">
            <v>VAR_cap</v>
          </cell>
          <cell r="D558" t="str">
            <v>-</v>
          </cell>
          <cell r="E558">
            <v>1.22</v>
          </cell>
          <cell r="F558">
            <v>1.22</v>
          </cell>
          <cell r="G558">
            <v>1.22</v>
          </cell>
          <cell r="H558">
            <v>1.22</v>
          </cell>
          <cell r="I558">
            <v>1.22</v>
          </cell>
        </row>
        <row r="559">
          <cell r="B559" t="str">
            <v>D-RSH2R</v>
          </cell>
          <cell r="C559" t="str">
            <v>VAR_fout</v>
          </cell>
          <cell r="D559" t="str">
            <v>RSH2</v>
          </cell>
          <cell r="H559">
            <v>8.4379523788661323E-4</v>
          </cell>
          <cell r="I559">
            <v>1.2303455748711451E-3</v>
          </cell>
          <cell r="J559">
            <v>2.4678856424039225E-3</v>
          </cell>
        </row>
        <row r="560">
          <cell r="B560" t="str">
            <v>D-RSH2R</v>
          </cell>
          <cell r="C560" t="str">
            <v>VAR_fin</v>
          </cell>
          <cell r="D560" t="str">
            <v>H2</v>
          </cell>
          <cell r="H560">
            <v>8.4379523788661323E-4</v>
          </cell>
          <cell r="I560">
            <v>1.2303455748711451E-3</v>
          </cell>
          <cell r="J560">
            <v>2.4678856424039225E-3</v>
          </cell>
        </row>
        <row r="561">
          <cell r="B561" t="str">
            <v>D-RSH2R</v>
          </cell>
          <cell r="C561" t="str">
            <v>VAR_ncap</v>
          </cell>
          <cell r="D561" t="str">
            <v>-</v>
          </cell>
          <cell r="H561">
            <v>4.3056111767210501E-4</v>
          </cell>
          <cell r="I561">
            <v>5.8996620987594999E-4</v>
          </cell>
          <cell r="J561">
            <v>3.2380565480042702E-4</v>
          </cell>
        </row>
        <row r="562">
          <cell r="B562" t="str">
            <v>D-RSH2R</v>
          </cell>
          <cell r="C562" t="str">
            <v>VAR_cap</v>
          </cell>
          <cell r="D562" t="str">
            <v>-</v>
          </cell>
          <cell r="H562">
            <v>4.3056111767210501E-4</v>
          </cell>
          <cell r="I562">
            <v>6.7790931079376895E-4</v>
          </cell>
          <cell r="J562">
            <v>5.2588161654417201E-4</v>
          </cell>
        </row>
        <row r="563">
          <cell r="B563" t="str">
            <v>ENGA-GTOC</v>
          </cell>
          <cell r="C563" t="str">
            <v>VAR_fout</v>
          </cell>
          <cell r="D563" t="str">
            <v>ELC13</v>
          </cell>
          <cell r="H563">
            <v>1.3621683746791645E-4</v>
          </cell>
          <cell r="I563">
            <v>0.10434653297075876</v>
          </cell>
          <cell r="J563">
            <v>2.6842247670479158E-2</v>
          </cell>
        </row>
        <row r="564">
          <cell r="B564" t="str">
            <v>ENGA-GTOC</v>
          </cell>
          <cell r="C564" t="str">
            <v>VAR_fout</v>
          </cell>
          <cell r="D564" t="str">
            <v>CO2_E</v>
          </cell>
          <cell r="H564">
            <v>2.1832060682909001E-2</v>
          </cell>
          <cell r="I564">
            <v>14.8374071334554</v>
          </cell>
          <cell r="J564">
            <v>3.7459493523560301</v>
          </cell>
        </row>
        <row r="565">
          <cell r="B565" t="str">
            <v>ENGA-GTOC</v>
          </cell>
          <cell r="C565" t="str">
            <v>VAR_fin</v>
          </cell>
          <cell r="D565" t="str">
            <v>ENGA</v>
          </cell>
          <cell r="H565">
            <v>3.8709327451966327E-4</v>
          </cell>
          <cell r="I565">
            <v>0.26307459456481253</v>
          </cell>
          <cell r="J565">
            <v>6.641754170844022E-2</v>
          </cell>
        </row>
        <row r="566">
          <cell r="B566" t="str">
            <v>ENGA-GTOC</v>
          </cell>
          <cell r="C566" t="str">
            <v>VAR_fin</v>
          </cell>
          <cell r="D566" t="str">
            <v>GTC</v>
          </cell>
          <cell r="H566">
            <v>7.4859020165181601E-3</v>
          </cell>
          <cell r="I566">
            <v>7.2569532033996742E-2</v>
          </cell>
          <cell r="J566">
            <v>6.9954637458744182E-2</v>
          </cell>
        </row>
        <row r="567">
          <cell r="B567" t="str">
            <v>ENGA-GTOC</v>
          </cell>
          <cell r="C567" t="str">
            <v>VAR_ncap</v>
          </cell>
          <cell r="D567" t="str">
            <v>-</v>
          </cell>
          <cell r="H567">
            <v>7.4859020165181601E-3</v>
          </cell>
          <cell r="I567">
            <v>4.2044730603496699E-2</v>
          </cell>
          <cell r="J567">
            <v>7.6009703994942999E-5</v>
          </cell>
        </row>
        <row r="568">
          <cell r="B568" t="str">
            <v>ENGA-GTOC</v>
          </cell>
          <cell r="C568" t="str">
            <v>VAR_cap</v>
          </cell>
          <cell r="D568" t="str">
            <v>-</v>
          </cell>
          <cell r="H568">
            <v>7.4859020165181601E-3</v>
          </cell>
          <cell r="I568">
            <v>7.2569532033996728E-2</v>
          </cell>
          <cell r="J568">
            <v>6.9954637458744223E-2</v>
          </cell>
        </row>
        <row r="569">
          <cell r="B569" t="str">
            <v>D-RSH2</v>
          </cell>
          <cell r="C569" t="str">
            <v>VAR_fout</v>
          </cell>
          <cell r="D569" t="str">
            <v>RSH2</v>
          </cell>
          <cell r="H569">
            <v>7.6524869967237348E-4</v>
          </cell>
          <cell r="I569">
            <v>1.2234539165916164E-3</v>
          </cell>
          <cell r="J569">
            <v>2.5038495066971931E-3</v>
          </cell>
        </row>
        <row r="570">
          <cell r="B570" t="str">
            <v>D-RSH2</v>
          </cell>
          <cell r="C570" t="str">
            <v>VAR_fin</v>
          </cell>
          <cell r="D570" t="str">
            <v>H2</v>
          </cell>
          <cell r="H570">
            <v>7.7107866119701805E-4</v>
          </cell>
          <cell r="I570">
            <v>1.232774663250784E-3</v>
          </cell>
          <cell r="J570">
            <v>2.5229248037787711E-3</v>
          </cell>
        </row>
        <row r="571">
          <cell r="B571" t="str">
            <v>D-RSH2</v>
          </cell>
          <cell r="C571" t="str">
            <v>VAR_ncap</v>
          </cell>
          <cell r="D571" t="str">
            <v>-</v>
          </cell>
          <cell r="H571">
            <v>6.0468157622823899E-4</v>
          </cell>
          <cell r="I571">
            <v>1.1270859058063201E-5</v>
          </cell>
          <cell r="J571">
            <v>1.0023110440249401E-5</v>
          </cell>
        </row>
        <row r="572">
          <cell r="B572" t="str">
            <v>D-RSH2</v>
          </cell>
          <cell r="C572" t="str">
            <v>VAR_cap</v>
          </cell>
          <cell r="D572" t="str">
            <v>-</v>
          </cell>
          <cell r="H572">
            <v>6.0468157622823899E-4</v>
          </cell>
          <cell r="I572">
            <v>8.80365840185347E-4</v>
          </cell>
          <cell r="J572">
            <v>8.9038895062559602E-4</v>
          </cell>
        </row>
        <row r="573">
          <cell r="B573" t="str">
            <v>D-RWOD</v>
          </cell>
          <cell r="C573" t="str">
            <v>VAR_fout</v>
          </cell>
          <cell r="D573" t="str">
            <v>RWOD</v>
          </cell>
          <cell r="E573">
            <v>13.72305505348508</v>
          </cell>
          <cell r="F573">
            <v>14.928224663102261</v>
          </cell>
          <cell r="G573">
            <v>16.22433972903767</v>
          </cell>
          <cell r="H573">
            <v>12.990416174133909</v>
          </cell>
          <cell r="I573">
            <v>7.6672128106283761</v>
          </cell>
          <cell r="J573">
            <v>3.301626820985089</v>
          </cell>
        </row>
        <row r="574">
          <cell r="B574" t="str">
            <v>D-RWOD</v>
          </cell>
          <cell r="C574" t="str">
            <v>VAR_fin</v>
          </cell>
          <cell r="D574" t="str">
            <v>WOD</v>
          </cell>
          <cell r="E574">
            <v>13.72305505348508</v>
          </cell>
          <cell r="F574">
            <v>14.928224663102261</v>
          </cell>
          <cell r="G574">
            <v>16.22433972903767</v>
          </cell>
          <cell r="H574">
            <v>12.990416174133909</v>
          </cell>
          <cell r="I574">
            <v>7.6672128106283761</v>
          </cell>
          <cell r="J574">
            <v>3.301626820985089</v>
          </cell>
        </row>
        <row r="575">
          <cell r="B575" t="str">
            <v>SCOM-CHPGFC</v>
          </cell>
          <cell r="C575" t="str">
            <v>VAR_fout</v>
          </cell>
          <cell r="D575" t="str">
            <v>CO2_S</v>
          </cell>
          <cell r="H575">
            <v>3.1829729855660099E-3</v>
          </cell>
          <cell r="I575">
            <v>7.6831060188976297</v>
          </cell>
          <cell r="J575">
            <v>3.1247896525030998</v>
          </cell>
        </row>
        <row r="576">
          <cell r="B576" t="str">
            <v>SCOM-CHPGFC</v>
          </cell>
          <cell r="C576" t="str">
            <v>VAR_fout</v>
          </cell>
          <cell r="D576" t="str">
            <v>SCOM_NKEV_GAS_ELC_CHP</v>
          </cell>
          <cell r="H576">
            <v>3.3861414740063988E-5</v>
          </cell>
          <cell r="I576">
            <v>8.3097423254034714E-2</v>
          </cell>
          <cell r="J576">
            <v>3.4350524548793004E-2</v>
          </cell>
        </row>
        <row r="577">
          <cell r="B577" t="str">
            <v>SCOM-CHPGFC</v>
          </cell>
          <cell r="C577" t="str">
            <v>VAR_fout</v>
          </cell>
          <cell r="D577" t="str">
            <v>SCOM_LTH_CHPNGA</v>
          </cell>
          <cell r="H577">
            <v>1.0158424422019194E-5</v>
          </cell>
          <cell r="I577">
            <v>2.4520551124141421E-2</v>
          </cell>
          <cell r="J577">
            <v>9.9727329335205298E-3</v>
          </cell>
        </row>
        <row r="578">
          <cell r="B578" t="str">
            <v>SCOM-CHPGFC</v>
          </cell>
          <cell r="C578" t="str">
            <v>VAR_fin</v>
          </cell>
          <cell r="D578" t="str">
            <v>SNGA</v>
          </cell>
          <cell r="H578">
            <v>5.6435691233439876E-5</v>
          </cell>
          <cell r="I578">
            <v>0.13622528402300768</v>
          </cell>
          <cell r="J578">
            <v>5.5404071852891923E-2</v>
          </cell>
        </row>
        <row r="579">
          <cell r="B579" t="str">
            <v>SCOM-CHPGFC</v>
          </cell>
          <cell r="C579" t="str">
            <v>VAR_ncap</v>
          </cell>
          <cell r="D579" t="str">
            <v>-</v>
          </cell>
          <cell r="H579">
            <v>4.9484412168788504E-6</v>
          </cell>
          <cell r="I579">
            <v>4.2381806512382502E-3</v>
          </cell>
          <cell r="J579">
            <v>2.0739423261537201E-6</v>
          </cell>
        </row>
        <row r="580">
          <cell r="B580" t="str">
            <v>SCOM-CHPGFC</v>
          </cell>
          <cell r="C580" t="str">
            <v>VAR_cap</v>
          </cell>
          <cell r="D580" t="str">
            <v>-</v>
          </cell>
          <cell r="H580">
            <v>4.9484412168788504E-6</v>
          </cell>
          <cell r="I580">
            <v>4.9197242897773014E-3</v>
          </cell>
          <cell r="J580">
            <v>3.3588768138715303E-3</v>
          </cell>
        </row>
        <row r="581">
          <cell r="B581" t="str">
            <v>CHPOIL</v>
          </cell>
          <cell r="C581" t="str">
            <v>VAR_fout</v>
          </cell>
          <cell r="D581" t="str">
            <v>ELC35</v>
          </cell>
          <cell r="E581">
            <v>1.8084137352322917E-3</v>
          </cell>
          <cell r="F581">
            <v>8.8291036756263613E-5</v>
          </cell>
          <cell r="G581">
            <v>3.2203973062110243E-3</v>
          </cell>
          <cell r="H581">
            <v>2.5218880109489114E-3</v>
          </cell>
          <cell r="I581">
            <v>7.246811653390528E-4</v>
          </cell>
          <cell r="J581">
            <v>1.0081082329861472E-5</v>
          </cell>
        </row>
        <row r="582">
          <cell r="B582" t="str">
            <v>CHPOIL</v>
          </cell>
          <cell r="C582" t="str">
            <v>VAR_fout</v>
          </cell>
          <cell r="D582" t="str">
            <v>LTH</v>
          </cell>
          <cell r="E582">
            <v>9.3004134954803499E-3</v>
          </cell>
          <cell r="F582">
            <v>4.5406818903221275E-4</v>
          </cell>
          <cell r="G582">
            <v>1.6562043289085254E-2</v>
          </cell>
          <cell r="H582">
            <v>1.2969709770594385E-2</v>
          </cell>
          <cell r="I582">
            <v>3.7269317074579856E-3</v>
          </cell>
          <cell r="J582">
            <v>5.1845566267859008E-5</v>
          </cell>
        </row>
        <row r="583">
          <cell r="B583" t="str">
            <v>CHPOIL</v>
          </cell>
          <cell r="C583" t="str">
            <v>VAR_fout</v>
          </cell>
          <cell r="D583" t="str">
            <v>CO2_E</v>
          </cell>
          <cell r="E583">
            <v>5.8549879327824002</v>
          </cell>
          <cell r="F583">
            <v>0.43245318516079401</v>
          </cell>
          <cell r="G583">
            <v>2.5371006132934899</v>
          </cell>
          <cell r="H583">
            <v>1.61585059393532</v>
          </cell>
          <cell r="I583">
            <v>0.55401022745853601</v>
          </cell>
          <cell r="J583">
            <v>7.5361942919675903E-3</v>
          </cell>
        </row>
        <row r="584">
          <cell r="B584" t="str">
            <v>CHPOIL</v>
          </cell>
          <cell r="C584" t="str">
            <v>VAR_fin</v>
          </cell>
          <cell r="D584" t="str">
            <v>ELFO</v>
          </cell>
          <cell r="E584">
            <v>7.9443526903424697E-2</v>
          </cell>
          <cell r="F584">
            <v>5.8677501378669554E-3</v>
          </cell>
          <cell r="G584">
            <v>3.4424703029762395E-2</v>
          </cell>
          <cell r="H584">
            <v>2.1924702767100727E-2</v>
          </cell>
          <cell r="I584">
            <v>7.5170994227752534E-3</v>
          </cell>
          <cell r="J584">
            <v>1.0225501074582876E-4</v>
          </cell>
        </row>
        <row r="585">
          <cell r="B585" t="str">
            <v>CHPOIL</v>
          </cell>
          <cell r="C585" t="str">
            <v>VAR_ncap</v>
          </cell>
          <cell r="D585" t="str">
            <v>-</v>
          </cell>
          <cell r="F585">
            <v>3.2674081600409801E-4</v>
          </cell>
          <cell r="G585">
            <v>5.2743168325267102E-5</v>
          </cell>
          <cell r="H585">
            <v>7.2246851004414099E-5</v>
          </cell>
          <cell r="I585">
            <v>4.2234634254551001E-4</v>
          </cell>
          <cell r="J585">
            <v>2.08282510997765E-4</v>
          </cell>
        </row>
        <row r="586">
          <cell r="B586" t="str">
            <v>CHPOIL</v>
          </cell>
          <cell r="C586" t="str">
            <v>VAR_cap</v>
          </cell>
          <cell r="D586" t="str">
            <v>-</v>
          </cell>
          <cell r="E586">
            <v>1.0476321399723588E-2</v>
          </cell>
          <cell r="F586">
            <v>8.5993302989912299E-3</v>
          </cell>
          <cell r="G586">
            <v>7.9541327326554737E-3</v>
          </cell>
          <cell r="H586">
            <v>3.1276245505350584E-3</v>
          </cell>
          <cell r="I586">
            <v>1.2528651724565379E-3</v>
          </cell>
          <cell r="J586">
            <v>8.2196008576724254E-4</v>
          </cell>
        </row>
        <row r="587">
          <cell r="B587" t="str">
            <v>CHPHFC</v>
          </cell>
          <cell r="C587" t="str">
            <v>VAR_fout</v>
          </cell>
          <cell r="D587" t="str">
            <v>ELC35</v>
          </cell>
          <cell r="I587">
            <v>2.4622556161880134E-3</v>
          </cell>
          <cell r="J587">
            <v>0.2785915585877774</v>
          </cell>
        </row>
        <row r="588">
          <cell r="B588" t="str">
            <v>CHPHFC</v>
          </cell>
          <cell r="C588" t="str">
            <v>VAR_fout</v>
          </cell>
          <cell r="D588" t="str">
            <v>LTH</v>
          </cell>
          <cell r="I588">
            <v>2.9898818196568604E-3</v>
          </cell>
          <cell r="J588">
            <v>0.35155601440838546</v>
          </cell>
        </row>
        <row r="589">
          <cell r="B589" t="str">
            <v>CHPHFC</v>
          </cell>
          <cell r="C589" t="str">
            <v>VAR_fin</v>
          </cell>
          <cell r="D589" t="str">
            <v>EH2</v>
          </cell>
          <cell r="I589">
            <v>5.8625133718762197E-3</v>
          </cell>
          <cell r="J589">
            <v>0.66331323473280379</v>
          </cell>
        </row>
        <row r="590">
          <cell r="B590" t="str">
            <v>CHPHFC</v>
          </cell>
          <cell r="C590" t="str">
            <v>VAR_ncap</v>
          </cell>
          <cell r="D590" t="str">
            <v>-</v>
          </cell>
          <cell r="I590">
            <v>8.3781618637900903E-4</v>
          </cell>
          <cell r="J590">
            <v>1.0547116251236201E-2</v>
          </cell>
        </row>
        <row r="591">
          <cell r="B591" t="str">
            <v>CHPHFC</v>
          </cell>
          <cell r="C591" t="str">
            <v>VAR_cap</v>
          </cell>
          <cell r="D591" t="str">
            <v>-</v>
          </cell>
          <cell r="I591">
            <v>8.3781618637900903E-4</v>
          </cell>
          <cell r="J591">
            <v>1.1383399687612931E-2</v>
          </cell>
        </row>
        <row r="592">
          <cell r="B592" t="str">
            <v>ITOT-ESOLPV</v>
          </cell>
          <cell r="C592" t="str">
            <v>VAR_fout</v>
          </cell>
          <cell r="D592" t="str">
            <v>ITOT_SOL_ELC</v>
          </cell>
          <cell r="E592">
            <v>3.517953999707534</v>
          </cell>
          <cell r="F592">
            <v>4.8498358842776508</v>
          </cell>
          <cell r="G592">
            <v>11.161606387791492</v>
          </cell>
          <cell r="H592">
            <v>12.259650293068507</v>
          </cell>
          <cell r="I592">
            <v>40.833968620879681</v>
          </cell>
          <cell r="J592">
            <v>64.332956945235054</v>
          </cell>
        </row>
        <row r="593">
          <cell r="B593" t="str">
            <v>ITOT-ESOLPV</v>
          </cell>
          <cell r="C593" t="str">
            <v>VAR_fin</v>
          </cell>
          <cell r="D593" t="str">
            <v>SOL</v>
          </cell>
          <cell r="E593">
            <v>3.517953999707534</v>
          </cell>
          <cell r="F593">
            <v>4.8498358842776508</v>
          </cell>
          <cell r="G593">
            <v>11.161606387791492</v>
          </cell>
          <cell r="H593">
            <v>12.259650293068507</v>
          </cell>
          <cell r="I593">
            <v>40.833968620879681</v>
          </cell>
          <cell r="J593">
            <v>64.332956945235054</v>
          </cell>
        </row>
        <row r="594">
          <cell r="B594" t="str">
            <v>ITOT-ESOLPV</v>
          </cell>
          <cell r="C594" t="str">
            <v>VAR_fin</v>
          </cell>
          <cell r="D594" t="str">
            <v>SOLPVC</v>
          </cell>
          <cell r="E594">
            <v>3.51795399970753</v>
          </cell>
          <cell r="F594">
            <v>4.8498358842776499</v>
          </cell>
          <cell r="G594">
            <v>11.161606387791499</v>
          </cell>
          <cell r="H594">
            <v>12.2596502930685</v>
          </cell>
          <cell r="I594">
            <v>40.833968620879702</v>
          </cell>
          <cell r="J594">
            <v>64.332956945235097</v>
          </cell>
        </row>
        <row r="595">
          <cell r="B595" t="str">
            <v>ITOT-ESOLPV</v>
          </cell>
          <cell r="C595" t="str">
            <v>VAR_ncap</v>
          </cell>
          <cell r="D595" t="str">
            <v>-</v>
          </cell>
          <cell r="F595">
            <v>5.4034119929003701E-8</v>
          </cell>
          <cell r="G595">
            <v>1.7679593488069301</v>
          </cell>
          <cell r="H595">
            <v>4.2982826096300997E-2</v>
          </cell>
          <cell r="I595">
            <v>4.7147889054759196</v>
          </cell>
          <cell r="J595">
            <v>10.040407802115899</v>
          </cell>
        </row>
        <row r="596">
          <cell r="B596" t="str">
            <v>ITOT-ESOLPV</v>
          </cell>
          <cell r="C596" t="str">
            <v>VAR_cap</v>
          </cell>
          <cell r="D596" t="str">
            <v>-</v>
          </cell>
          <cell r="E596">
            <v>1.1186210000000001</v>
          </cell>
          <cell r="F596">
            <v>1.6529270686211699</v>
          </cell>
          <cell r="G596">
            <v>3.5611804028410496</v>
          </cell>
          <cell r="H596">
            <v>3.5352473321332401</v>
          </cell>
          <cell r="I596">
            <v>11.775061890227436</v>
          </cell>
          <cell r="J596">
            <v>18.551331979472099</v>
          </cell>
        </row>
        <row r="597">
          <cell r="B597" t="str">
            <v>SUP_WODBIOCCS</v>
          </cell>
          <cell r="C597" t="str">
            <v>VAR_fout</v>
          </cell>
          <cell r="D597" t="str">
            <v>ELC35</v>
          </cell>
          <cell r="I597">
            <v>2.1937441510232989E-4</v>
          </cell>
          <cell r="J597">
            <v>1.3735738624010001E-3</v>
          </cell>
        </row>
        <row r="598">
          <cell r="B598" t="str">
            <v>SUP_WODBIOCCS</v>
          </cell>
          <cell r="C598" t="str">
            <v>VAR_fout</v>
          </cell>
          <cell r="D598" t="str">
            <v>CO2_O</v>
          </cell>
          <cell r="I598">
            <v>0.34321303222940419</v>
          </cell>
          <cell r="J598">
            <v>2.1829338279393418</v>
          </cell>
        </row>
        <row r="599">
          <cell r="B599" t="str">
            <v>SUP_WODBIOCCS</v>
          </cell>
          <cell r="C599" t="str">
            <v>VAR_fout</v>
          </cell>
          <cell r="D599" t="str">
            <v>CO2</v>
          </cell>
          <cell r="I599">
            <v>-0.34321303222940402</v>
          </cell>
          <cell r="J599">
            <v>-2.18293382793934</v>
          </cell>
        </row>
        <row r="600">
          <cell r="B600" t="str">
            <v>SUP_WODBIOCCS</v>
          </cell>
          <cell r="C600" t="str">
            <v>VAR_fout</v>
          </cell>
          <cell r="D600" t="str">
            <v>BIO</v>
          </cell>
          <cell r="I600">
            <v>5.3767621344652239E-3</v>
          </cell>
          <cell r="J600">
            <v>3.4248729440689067E-2</v>
          </cell>
        </row>
        <row r="601">
          <cell r="B601" t="str">
            <v>SUP_WODBIOCCS</v>
          </cell>
          <cell r="C601" t="str">
            <v>VAR_fout</v>
          </cell>
          <cell r="D601" t="str">
            <v>LTH</v>
          </cell>
          <cell r="I601">
            <v>6.5154990707839023E-4</v>
          </cell>
          <cell r="J601">
            <v>4.114783671669826E-3</v>
          </cell>
        </row>
        <row r="602">
          <cell r="B602" t="str">
            <v>SUP_WODBIOCCS</v>
          </cell>
          <cell r="C602" t="str">
            <v>VAR_fin</v>
          </cell>
          <cell r="D602" t="str">
            <v>CWOD</v>
          </cell>
          <cell r="I602">
            <v>8.0053104625462269E-3</v>
          </cell>
          <cell r="J602">
            <v>5.1273796141086174E-2</v>
          </cell>
        </row>
        <row r="603">
          <cell r="B603" t="str">
            <v>SUP_WODBIOCCS</v>
          </cell>
          <cell r="C603" t="str">
            <v>VAR_ncap</v>
          </cell>
          <cell r="D603" t="str">
            <v>-</v>
          </cell>
          <cell r="I603">
            <v>3.2607077623981101E-4</v>
          </cell>
          <cell r="J603">
            <v>1.05548772615115E-3</v>
          </cell>
        </row>
        <row r="604">
          <cell r="B604" t="str">
            <v>SUP_WODBIOCCS</v>
          </cell>
          <cell r="C604" t="str">
            <v>VAR_cap</v>
          </cell>
          <cell r="D604" t="str">
            <v>-</v>
          </cell>
          <cell r="I604">
            <v>3.2607077623981101E-4</v>
          </cell>
          <cell r="J604">
            <v>1.38155850239096E-3</v>
          </cell>
        </row>
        <row r="605">
          <cell r="B605" t="str">
            <v>RHNS-CHPNGA</v>
          </cell>
          <cell r="C605" t="str">
            <v>VAR_fout</v>
          </cell>
          <cell r="D605" t="str">
            <v>CO2_R</v>
          </cell>
          <cell r="F605">
            <v>0.22224738298625399</v>
          </cell>
          <cell r="G605">
            <v>2.0876246578488402</v>
          </cell>
          <cell r="H605">
            <v>2.7041517535459801E-3</v>
          </cell>
          <cell r="I605">
            <v>2.44826574465645</v>
          </cell>
          <cell r="J605">
            <v>1.98234096922756</v>
          </cell>
        </row>
        <row r="606">
          <cell r="B606" t="str">
            <v>RHNS-CHPNGA</v>
          </cell>
          <cell r="C606" t="str">
            <v>VAR_fout</v>
          </cell>
          <cell r="D606" t="str">
            <v>RHNS_LTH_CHPNGA</v>
          </cell>
          <cell r="F606">
            <v>1.6526506455406046E-3</v>
          </cell>
          <cell r="G606">
            <v>7.1013450172666397E-3</v>
          </cell>
          <cell r="H606">
            <v>2.2626166666525131E-5</v>
          </cell>
          <cell r="I606">
            <v>2.4475310164441162E-2</v>
          </cell>
          <cell r="J606">
            <v>2.1389965596262196E-2</v>
          </cell>
        </row>
        <row r="607">
          <cell r="B607" t="str">
            <v>RHNS-CHPNGA</v>
          </cell>
          <cell r="C607" t="str">
            <v>VAR_fout</v>
          </cell>
          <cell r="D607" t="str">
            <v>RHNS_NKEV_GAS_ELC_CHP</v>
          </cell>
          <cell r="F607">
            <v>6.9349682950082983E-4</v>
          </cell>
          <cell r="G607">
            <v>3.026277808936619E-3</v>
          </cell>
          <cell r="H607">
            <v>9.8989479166047197E-6</v>
          </cell>
          <cell r="I607">
            <v>1.0899161557602703E-2</v>
          </cell>
          <cell r="J607">
            <v>9.8461746395492634E-3</v>
          </cell>
        </row>
        <row r="608">
          <cell r="B608" t="str">
            <v>RHNS-CHPNGA</v>
          </cell>
          <cell r="C608" t="str">
            <v>VAR_fin</v>
          </cell>
          <cell r="D608" t="str">
            <v>RNGA</v>
          </cell>
          <cell r="F608">
            <v>3.9405564359264967E-3</v>
          </cell>
          <cell r="G608">
            <v>3.701462159306456E-2</v>
          </cell>
          <cell r="H608">
            <v>4.7945953077056494E-5</v>
          </cell>
          <cell r="I608">
            <v>4.3408967103837785E-2</v>
          </cell>
          <cell r="J608">
            <v>3.5147889525311282E-2</v>
          </cell>
        </row>
        <row r="609">
          <cell r="B609" t="str">
            <v>RHNS-CHPNGA</v>
          </cell>
          <cell r="C609" t="str">
            <v>VAR_ncap</v>
          </cell>
          <cell r="D609" t="str">
            <v>-</v>
          </cell>
          <cell r="F609">
            <v>2.0165858865052301E-4</v>
          </cell>
          <cell r="G609">
            <v>6.7031230624860994E-5</v>
          </cell>
          <cell r="H609">
            <v>2.6579794668277798E-7</v>
          </cell>
          <cell r="I609">
            <v>5.5899739426586495E-4</v>
          </cell>
          <cell r="J609">
            <v>4.1217277074287601E-7</v>
          </cell>
        </row>
        <row r="610">
          <cell r="B610" t="str">
            <v>RHNS-CHPNGA</v>
          </cell>
          <cell r="C610" t="str">
            <v>VAR_cap</v>
          </cell>
          <cell r="D610" t="str">
            <v>-</v>
          </cell>
          <cell r="F610">
            <v>2.0165858865052301E-4</v>
          </cell>
          <cell r="G610">
            <v>2.6861221047894048E-4</v>
          </cell>
          <cell r="H610">
            <v>2.5062259064950005E-6</v>
          </cell>
          <cell r="I610">
            <v>9.6997874270021202E-4</v>
          </cell>
          <cell r="J610">
            <v>8.8378676769303058E-4</v>
          </cell>
        </row>
        <row r="611">
          <cell r="B611" t="str">
            <v>ENUC_BEZ</v>
          </cell>
          <cell r="C611" t="str">
            <v>VAR_fout</v>
          </cell>
          <cell r="D611" t="str">
            <v>ELC</v>
          </cell>
          <cell r="E611">
            <v>20.224802659733911</v>
          </cell>
          <cell r="F611">
            <v>20.224277705538032</v>
          </cell>
          <cell r="G611">
            <v>12.738740507865852</v>
          </cell>
          <cell r="H611">
            <v>7.3962449400217638</v>
          </cell>
        </row>
        <row r="612">
          <cell r="B612" t="str">
            <v>ENUC_BEZ</v>
          </cell>
          <cell r="C612" t="str">
            <v>VAR_fin</v>
          </cell>
          <cell r="D612" t="str">
            <v>URN</v>
          </cell>
          <cell r="E612">
            <v>60.972103043453544</v>
          </cell>
          <cell r="F612">
            <v>60.970520453904257</v>
          </cell>
          <cell r="G612">
            <v>38.40372694640822</v>
          </cell>
          <cell r="H612">
            <v>22.297602414458471</v>
          </cell>
        </row>
        <row r="613">
          <cell r="B613" t="str">
            <v>ENUC_BEZ</v>
          </cell>
          <cell r="C613" t="str">
            <v>VAR_cap</v>
          </cell>
          <cell r="D613" t="str">
            <v>-</v>
          </cell>
          <cell r="E613">
            <v>0.73</v>
          </cell>
          <cell r="F613">
            <v>0.73</v>
          </cell>
          <cell r="G613">
            <v>0.48968299166234502</v>
          </cell>
          <cell r="H613">
            <v>0.26706931591377198</v>
          </cell>
        </row>
        <row r="614">
          <cell r="B614" t="str">
            <v>RHNM-CHPWOD</v>
          </cell>
          <cell r="C614" t="str">
            <v>VAR_fout</v>
          </cell>
          <cell r="D614" t="str">
            <v>RHNM_LTH_CHPWOD</v>
          </cell>
          <cell r="H614">
            <v>5.1803815599036889E-3</v>
          </cell>
          <cell r="I614">
            <v>6.1085599083179246E-2</v>
          </cell>
          <cell r="J614">
            <v>2.7928390019079857E-2</v>
          </cell>
        </row>
        <row r="615">
          <cell r="B615" t="str">
            <v>RHNM-CHPWOD</v>
          </cell>
          <cell r="C615" t="str">
            <v>VAR_fout</v>
          </cell>
          <cell r="D615" t="str">
            <v>RHNM_KEV_WOD_ELC_CHP</v>
          </cell>
          <cell r="H615">
            <v>1.9474397345563843E-3</v>
          </cell>
          <cell r="I615">
            <v>2.2963660396084017E-2</v>
          </cell>
          <cell r="J615">
            <v>1.0499005877542976E-2</v>
          </cell>
        </row>
        <row r="616">
          <cell r="B616" t="str">
            <v>RHNM-CHPWOD</v>
          </cell>
          <cell r="C616" t="str">
            <v>VAR_fin</v>
          </cell>
          <cell r="D616" t="str">
            <v>RWOD</v>
          </cell>
          <cell r="H616">
            <v>7.5222269429369333E-3</v>
          </cell>
          <cell r="I616">
            <v>9.7882526842980669E-2</v>
          </cell>
          <cell r="J616">
            <v>3.7954896493506092E-2</v>
          </cell>
        </row>
        <row r="617">
          <cell r="B617" t="str">
            <v>RHNM-CHPWOD</v>
          </cell>
          <cell r="C617" t="str">
            <v>VAR_ncap</v>
          </cell>
          <cell r="D617" t="str">
            <v>-</v>
          </cell>
          <cell r="H617">
            <v>2.51082781457409E-4</v>
          </cell>
          <cell r="I617">
            <v>1.9658721383773801E-4</v>
          </cell>
          <cell r="J617">
            <v>7.1178381061675895E-5</v>
          </cell>
        </row>
        <row r="618">
          <cell r="B618" t="str">
            <v>RHNM-CHPWOD</v>
          </cell>
          <cell r="C618" t="str">
            <v>VAR_cap</v>
          </cell>
          <cell r="D618" t="str">
            <v>-</v>
          </cell>
          <cell r="H618">
            <v>2.51082781457409E-4</v>
          </cell>
          <cell r="I618">
            <v>1.714488695208571E-3</v>
          </cell>
          <cell r="J618">
            <v>7.8298452348577255E-4</v>
          </cell>
        </row>
        <row r="619">
          <cell r="B619" t="str">
            <v>RHNM-SHSTG-CHPNGA</v>
          </cell>
          <cell r="C619" t="str">
            <v>VAR_fout</v>
          </cell>
          <cell r="D619" t="str">
            <v>AUX_RNM-CHPNGA_OUT</v>
          </cell>
          <cell r="E619">
            <v>5.676452089962993E-4</v>
          </cell>
          <cell r="F619">
            <v>9.7661246939331173E-4</v>
          </cell>
          <cell r="G619">
            <v>1.4559416622588833E-2</v>
          </cell>
          <cell r="H619">
            <v>3.7203968911941643E-4</v>
          </cell>
          <cell r="I619">
            <v>0.11592487332052506</v>
          </cell>
          <cell r="J619">
            <v>2.1000465259274226E-2</v>
          </cell>
        </row>
        <row r="620">
          <cell r="B620" t="str">
            <v>RHNM-SHSTG-CHPNGA</v>
          </cell>
          <cell r="C620" t="str">
            <v>VAR_fout</v>
          </cell>
          <cell r="D620" t="str">
            <v>RHNM_LTH_CHPNGA</v>
          </cell>
          <cell r="E620">
            <v>5.6764520899629811E-4</v>
          </cell>
          <cell r="F620">
            <v>9.7726354437290518E-4</v>
          </cell>
          <cell r="G620">
            <v>1.4574582681570695E-2</v>
          </cell>
          <cell r="H620">
            <v>3.7203968911941643E-4</v>
          </cell>
          <cell r="I620">
            <v>0.11592487332052465</v>
          </cell>
          <cell r="J620">
            <v>2.1000465259274209E-2</v>
          </cell>
        </row>
        <row r="621">
          <cell r="B621" t="str">
            <v>RHNM-SHSTG-CHPNGA</v>
          </cell>
          <cell r="C621" t="str">
            <v>VAR_fin</v>
          </cell>
          <cell r="D621" t="str">
            <v>AUX_RNM-CHPNGA_IN</v>
          </cell>
          <cell r="E621">
            <v>4.4274235584893559E-4</v>
          </cell>
          <cell r="F621">
            <v>1.2925340666670709E-3</v>
          </cell>
          <cell r="G621">
            <v>1.8814327010486995E-2</v>
          </cell>
          <cell r="H621">
            <v>4.7356459920303901E-4</v>
          </cell>
          <cell r="I621">
            <v>0.1363910174141115</v>
          </cell>
          <cell r="J621">
            <v>2.3342264160980938E-2</v>
          </cell>
        </row>
        <row r="622">
          <cell r="B622" t="str">
            <v>RHNM-SHSTG-CHPNGA</v>
          </cell>
          <cell r="C622" t="str">
            <v>VAR_fin</v>
          </cell>
          <cell r="D622" t="str">
            <v>RHNM_LTH_CHPNGA</v>
          </cell>
          <cell r="E622">
            <v>4.4274235584893559E-4</v>
          </cell>
          <cell r="F622">
            <v>1.2925340666670709E-3</v>
          </cell>
          <cell r="G622">
            <v>1.8814327010486995E-2</v>
          </cell>
          <cell r="H622">
            <v>4.7356459920303901E-4</v>
          </cell>
          <cell r="I622">
            <v>0.1363910174141115</v>
          </cell>
          <cell r="J622">
            <v>2.3342264160980938E-2</v>
          </cell>
        </row>
        <row r="623">
          <cell r="B623" t="str">
            <v>RHNM-SHSTG-CHPNGA</v>
          </cell>
          <cell r="C623" t="str">
            <v>VAR_ncap</v>
          </cell>
          <cell r="D623" t="str">
            <v>-</v>
          </cell>
          <cell r="E623">
            <v>3.3524685331133397E-2</v>
          </cell>
          <cell r="F623">
            <v>1.1105983423255999E-3</v>
          </cell>
          <cell r="G623">
            <v>7.8553712961050798E-4</v>
          </cell>
          <cell r="H623">
            <v>3.7457506060691303E-4</v>
          </cell>
          <cell r="I623">
            <v>3.0319068956746599E-3</v>
          </cell>
          <cell r="J623">
            <v>4.5862479195767601E-3</v>
          </cell>
        </row>
        <row r="624">
          <cell r="B624" t="str">
            <v>RHNM-SHSTG-CHPNGA</v>
          </cell>
          <cell r="C624" t="str">
            <v>VAR_cap</v>
          </cell>
          <cell r="D624" t="str">
            <v>-</v>
          </cell>
          <cell r="E624">
            <v>3.3524685331133397E-2</v>
          </cell>
          <cell r="F624">
            <v>3.4580050148096696E-2</v>
          </cell>
          <cell r="G624">
            <v>3.5181712350168017E-2</v>
          </cell>
          <cell r="H624">
            <v>3.4942653417646213E-2</v>
          </cell>
          <cell r="I624">
            <v>3.3300198959174555E-2</v>
          </cell>
          <cell r="J624">
            <v>1.9352904045037693E-2</v>
          </cell>
        </row>
        <row r="625">
          <cell r="B625" t="str">
            <v>CT_CWODBDS</v>
          </cell>
          <cell r="C625" t="str">
            <v>VAR_fout</v>
          </cell>
          <cell r="D625" t="str">
            <v>BDS</v>
          </cell>
          <cell r="E625">
            <v>0.54566383220082548</v>
          </cell>
          <cell r="F625">
            <v>0.66260468448084975</v>
          </cell>
          <cell r="G625">
            <v>7.938773906589075E-2</v>
          </cell>
          <cell r="H625">
            <v>2.8191978621085137E-5</v>
          </cell>
          <cell r="I625">
            <v>2.8066722866357883</v>
          </cell>
          <cell r="J625">
            <v>4.7067139217075071E-4</v>
          </cell>
        </row>
        <row r="626">
          <cell r="B626" t="str">
            <v>CT_CWODBDS</v>
          </cell>
          <cell r="C626" t="str">
            <v>VAR_fout</v>
          </cell>
          <cell r="D626" t="str">
            <v>LTH</v>
          </cell>
          <cell r="E626">
            <v>0.21280889455832169</v>
          </cell>
          <cell r="F626">
            <v>0.2584158269475309</v>
          </cell>
          <cell r="G626">
            <v>3.0961218235697339E-2</v>
          </cell>
          <cell r="H626">
            <v>1.0994871662223193E-5</v>
          </cell>
          <cell r="I626">
            <v>1.0946021917879551</v>
          </cell>
          <cell r="J626">
            <v>1.8356184294659252E-4</v>
          </cell>
        </row>
        <row r="627">
          <cell r="B627" t="str">
            <v>CT_CWODBDS</v>
          </cell>
          <cell r="C627" t="str">
            <v>VAR_fin</v>
          </cell>
          <cell r="D627" t="str">
            <v>CWOD</v>
          </cell>
          <cell r="E627">
            <v>1.5548690898562525</v>
          </cell>
          <cell r="F627">
            <v>1.8880920484281791</v>
          </cell>
          <cell r="G627">
            <v>0.22621536246825558</v>
          </cell>
          <cell r="H627">
            <v>8.0333043080782111E-5</v>
          </cell>
          <cell r="I627">
            <v>7.9976126807686647</v>
          </cell>
          <cell r="J627">
            <v>1.3411781319905545E-3</v>
          </cell>
        </row>
        <row r="628">
          <cell r="B628" t="str">
            <v>CT_CWODBDS</v>
          </cell>
          <cell r="C628" t="str">
            <v>VAR_fin</v>
          </cell>
          <cell r="D628" t="str">
            <v>CELC</v>
          </cell>
          <cell r="E628">
            <v>3.792363633795736E-2</v>
          </cell>
          <cell r="F628">
            <v>4.6051025571419026E-2</v>
          </cell>
          <cell r="G628">
            <v>5.5174478650793996E-3</v>
          </cell>
          <cell r="H628">
            <v>1.9593425141654174E-6</v>
          </cell>
          <cell r="I628">
            <v>0.19506372392118701</v>
          </cell>
          <cell r="J628">
            <v>3.2711661755867198E-5</v>
          </cell>
        </row>
        <row r="629">
          <cell r="B629" t="str">
            <v>CT_CWODBDS</v>
          </cell>
          <cell r="C629" t="str">
            <v>VAR_ncap</v>
          </cell>
          <cell r="D629" t="str">
            <v>-</v>
          </cell>
          <cell r="E629">
            <v>9.7906231431729799E-6</v>
          </cell>
          <cell r="F629">
            <v>3.34604388849609E-6</v>
          </cell>
          <cell r="G629">
            <v>3.5873665315934402E-6</v>
          </cell>
          <cell r="H629">
            <v>5.2185345097312899E-6</v>
          </cell>
          <cell r="I629">
            <v>5.6817320694617798E-6</v>
          </cell>
          <cell r="J629">
            <v>4.1157223307977997E-6</v>
          </cell>
        </row>
        <row r="630">
          <cell r="B630" t="str">
            <v>CT_CWODBDS</v>
          </cell>
          <cell r="C630" t="str">
            <v>VAR_cap</v>
          </cell>
          <cell r="D630" t="str">
            <v>-</v>
          </cell>
          <cell r="E630">
            <v>3.4626588712918266E-2</v>
          </cell>
          <cell r="F630">
            <v>3.4378904949749767E-2</v>
          </cell>
          <cell r="G630">
            <v>4.194733849792763E-3</v>
          </cell>
          <cell r="H630">
            <v>8.032566976839961E-4</v>
          </cell>
          <cell r="I630">
            <v>0.1455573780522281</v>
          </cell>
          <cell r="J630">
            <v>3.7770300710499027E-4</v>
          </cell>
        </row>
        <row r="631">
          <cell r="B631" t="str">
            <v>RHNS-EBAT</v>
          </cell>
          <cell r="C631" t="str">
            <v>VAR_fout</v>
          </cell>
          <cell r="D631" t="str">
            <v>RHNS_ELC</v>
          </cell>
          <cell r="E631">
            <v>1.0752334748618825E-2</v>
          </cell>
          <cell r="F631">
            <v>1.0693795694390711E-2</v>
          </cell>
          <cell r="G631">
            <v>1.0841583132688685E-2</v>
          </cell>
          <cell r="H631">
            <v>3.7152443022778459E-3</v>
          </cell>
          <cell r="I631">
            <v>4.2291466989231224E-2</v>
          </cell>
          <cell r="J631">
            <v>4.6475495537131678E-2</v>
          </cell>
        </row>
        <row r="632">
          <cell r="B632" t="str">
            <v>RHNS-EBAT</v>
          </cell>
          <cell r="C632" t="str">
            <v>VAR_fout</v>
          </cell>
          <cell r="D632" t="str">
            <v>AUX_RHNS-EBAT_OUT</v>
          </cell>
          <cell r="E632">
            <v>1.0752334748618836E-2</v>
          </cell>
          <cell r="F632">
            <v>1.0693795694390723E-2</v>
          </cell>
          <cell r="G632">
            <v>1.0841583132688695E-2</v>
          </cell>
          <cell r="H632">
            <v>3.7152443022778498E-3</v>
          </cell>
          <cell r="I632">
            <v>4.2291466989231266E-2</v>
          </cell>
          <cell r="J632">
            <v>4.6475495537131692E-2</v>
          </cell>
        </row>
        <row r="633">
          <cell r="B633" t="str">
            <v>RHNS-EBAT</v>
          </cell>
          <cell r="C633" t="str">
            <v>VAR_fin</v>
          </cell>
          <cell r="D633" t="str">
            <v>RHNS_ELC</v>
          </cell>
          <cell r="E633">
            <v>1.1909325972601005E-2</v>
          </cell>
          <cell r="F633">
            <v>1.1843567174037612E-2</v>
          </cell>
          <cell r="G633">
            <v>1.1992161808476601E-2</v>
          </cell>
          <cell r="H633">
            <v>4.110768686120864E-3</v>
          </cell>
          <cell r="I633">
            <v>4.67707866545959E-2</v>
          </cell>
          <cell r="J633">
            <v>5.1397088276216064E-2</v>
          </cell>
        </row>
        <row r="634">
          <cell r="B634" t="str">
            <v>RHNS-EBAT</v>
          </cell>
          <cell r="C634" t="str">
            <v>VAR_fin</v>
          </cell>
          <cell r="D634" t="str">
            <v>AUX_RHNS-EBAT_IN</v>
          </cell>
          <cell r="E634">
            <v>1.1909325972601005E-2</v>
          </cell>
          <cell r="F634">
            <v>1.1843567174037612E-2</v>
          </cell>
          <cell r="G634">
            <v>1.1992161808476601E-2</v>
          </cell>
          <cell r="H634">
            <v>4.110768686120864E-3</v>
          </cell>
          <cell r="I634">
            <v>4.67707866545959E-2</v>
          </cell>
          <cell r="J634">
            <v>5.1397088276216064E-2</v>
          </cell>
        </row>
        <row r="635">
          <cell r="B635" t="str">
            <v>RHNS-EBAT</v>
          </cell>
          <cell r="C635" t="str">
            <v>VAR_ncap</v>
          </cell>
          <cell r="D635" t="str">
            <v>-</v>
          </cell>
          <cell r="E635">
            <v>4.41464435000189E-3</v>
          </cell>
          <cell r="F635">
            <v>7.0161706029924403E-6</v>
          </cell>
          <cell r="G635">
            <v>3.4430602273679802E-5</v>
          </cell>
          <cell r="H635">
            <v>1.28806458423954E-2</v>
          </cell>
          <cell r="I635">
            <v>1.5670386562519598E-2</v>
          </cell>
          <cell r="J635">
            <v>3.0131919501749399E-2</v>
          </cell>
        </row>
        <row r="636">
          <cell r="B636" t="str">
            <v>RHNS-EBAT</v>
          </cell>
          <cell r="C636" t="str">
            <v>VAR_cap</v>
          </cell>
          <cell r="D636" t="str">
            <v>-</v>
          </cell>
          <cell r="E636">
            <v>4.4170817337987455E-3</v>
          </cell>
          <cell r="F636">
            <v>4.4206936593057097E-3</v>
          </cell>
          <cell r="G636">
            <v>4.4513176718425041E-3</v>
          </cell>
          <cell r="H636">
            <v>1.6128767893671483E-2</v>
          </cell>
          <cell r="I636">
            <v>3.0064641335046396E-2</v>
          </cell>
          <cell r="J636">
            <v>4.0113944578170316E-2</v>
          </cell>
        </row>
        <row r="637">
          <cell r="B637" t="str">
            <v>G-INTC-EXP00-AT</v>
          </cell>
          <cell r="C637" t="str">
            <v>VAR_fout</v>
          </cell>
          <cell r="D637" t="str">
            <v>ELC_E-AT</v>
          </cell>
          <cell r="E637">
            <v>6.2295684795970354</v>
          </cell>
          <cell r="F637">
            <v>8.635432582198975E-3</v>
          </cell>
          <cell r="G637">
            <v>9.775289351522479E-3</v>
          </cell>
          <cell r="H637">
            <v>1.6691821905260079E-3</v>
          </cell>
          <cell r="I637">
            <v>1.6260382827409717E-3</v>
          </cell>
          <cell r="J637">
            <v>1.1350076394239207E-3</v>
          </cell>
        </row>
        <row r="638">
          <cell r="B638" t="str">
            <v>G-INTC-EXP00-AT</v>
          </cell>
          <cell r="C638" t="str">
            <v>VAR_fin</v>
          </cell>
          <cell r="D638" t="str">
            <v>ELC</v>
          </cell>
          <cell r="E638">
            <v>6.2295684795970354</v>
          </cell>
          <cell r="F638">
            <v>8.635432582198975E-3</v>
          </cell>
          <cell r="G638">
            <v>9.775289351522479E-3</v>
          </cell>
          <cell r="H638">
            <v>1.6691821905260079E-3</v>
          </cell>
          <cell r="I638">
            <v>1.6260382827409717E-3</v>
          </cell>
          <cell r="J638">
            <v>1.1350076394239207E-3</v>
          </cell>
        </row>
        <row r="639">
          <cell r="B639" t="str">
            <v>G-INTC-EXP00-AT</v>
          </cell>
          <cell r="C639" t="str">
            <v>VAR_ncap</v>
          </cell>
          <cell r="D639" t="str">
            <v>-</v>
          </cell>
          <cell r="E639">
            <v>7.0820694455208096E-6</v>
          </cell>
          <cell r="F639">
            <v>6.0215457728985803E-6</v>
          </cell>
          <cell r="G639">
            <v>7.3646918913163104E-6</v>
          </cell>
          <cell r="H639">
            <v>7.4911535988882004E-6</v>
          </cell>
          <cell r="I639">
            <v>6.0472839112346301E-6</v>
          </cell>
          <cell r="J639">
            <v>1.1012166013698599E-5</v>
          </cell>
        </row>
        <row r="640">
          <cell r="B640" t="str">
            <v>G-INTC-EXP00-AT</v>
          </cell>
          <cell r="C640" t="str">
            <v>VAR_cap</v>
          </cell>
          <cell r="D640" t="str">
            <v>-</v>
          </cell>
          <cell r="E640">
            <v>0.24805574919397699</v>
          </cell>
          <cell r="F640">
            <v>5.6951296323000111E-3</v>
          </cell>
          <cell r="G640">
            <v>5.6118635056698896E-3</v>
          </cell>
          <cell r="H640">
            <v>5.4954973105403315E-3</v>
          </cell>
          <cell r="I640">
            <v>5.4740224665985604E-3</v>
          </cell>
          <cell r="J640">
            <v>5.4740516682072471E-3</v>
          </cell>
        </row>
        <row r="641">
          <cell r="B641" t="str">
            <v>G-INTC-IMP00-DE</v>
          </cell>
          <cell r="C641" t="str">
            <v>VAR_fout</v>
          </cell>
          <cell r="D641" t="str">
            <v>ELC</v>
          </cell>
          <cell r="E641">
            <v>46.398479926121468</v>
          </cell>
          <cell r="F641">
            <v>18.882072353633337</v>
          </cell>
          <cell r="G641">
            <v>16.485714899582153</v>
          </cell>
          <cell r="H641">
            <v>8.0840356913198317</v>
          </cell>
          <cell r="I641">
            <v>14.153722367963764</v>
          </cell>
          <cell r="J641">
            <v>8.9087600248186263</v>
          </cell>
        </row>
        <row r="642">
          <cell r="B642" t="str">
            <v>G-INTC-IMP00-DE</v>
          </cell>
          <cell r="C642" t="str">
            <v>VAR_fin</v>
          </cell>
          <cell r="D642" t="str">
            <v>ELC_I-DE</v>
          </cell>
          <cell r="E642">
            <v>46.398479926121468</v>
          </cell>
          <cell r="F642">
            <v>18.882072353633337</v>
          </cell>
          <cell r="G642">
            <v>16.485714899582153</v>
          </cell>
          <cell r="H642">
            <v>8.0840356913198317</v>
          </cell>
          <cell r="I642">
            <v>14.153722367963764</v>
          </cell>
          <cell r="J642">
            <v>8.9087600248186263</v>
          </cell>
        </row>
        <row r="643">
          <cell r="B643" t="str">
            <v>G-INTC-IMP00-DE</v>
          </cell>
          <cell r="C643" t="str">
            <v>VAR_ncap</v>
          </cell>
          <cell r="D643" t="str">
            <v>-</v>
          </cell>
          <cell r="E643">
            <v>1.3413181376155701E-5</v>
          </cell>
          <cell r="F643">
            <v>1.15619400604664E-5</v>
          </cell>
          <cell r="G643">
            <v>1.5586677407387301E-5</v>
          </cell>
          <cell r="H643">
            <v>2.2957359011470299E-5</v>
          </cell>
          <cell r="I643">
            <v>1.5813865847522999E-5</v>
          </cell>
          <cell r="J643">
            <v>2.2519920388245299E-5</v>
          </cell>
        </row>
        <row r="644">
          <cell r="B644" t="str">
            <v>G-INTC-IMP00-DE</v>
          </cell>
          <cell r="C644" t="str">
            <v>VAR_cap</v>
          </cell>
          <cell r="D644" t="str">
            <v>-</v>
          </cell>
          <cell r="E644">
            <v>1.7670576636896602</v>
          </cell>
          <cell r="F644">
            <v>1.2824567255432</v>
          </cell>
          <cell r="G644">
            <v>1.2823323925257903</v>
          </cell>
          <cell r="H644">
            <v>1.2822830047829106</v>
          </cell>
          <cell r="I644">
            <v>1.2822801795987653</v>
          </cell>
          <cell r="J644">
            <v>1.2822518796282378</v>
          </cell>
        </row>
        <row r="645">
          <cell r="B645" t="str">
            <v>RHEM-SHSTG-CHPWOD</v>
          </cell>
          <cell r="C645" t="str">
            <v>VAR_fout</v>
          </cell>
          <cell r="D645" t="str">
            <v>AUX_REM-CHPWOD_OUT</v>
          </cell>
          <cell r="E645">
            <v>5.676646525890664E-4</v>
          </cell>
          <cell r="F645">
            <v>5.9015477393852087E-4</v>
          </cell>
          <cell r="G645">
            <v>2.5950268103638782E-4</v>
          </cell>
          <cell r="H645">
            <v>4.3261638978628645E-4</v>
          </cell>
          <cell r="I645">
            <v>5.086847290734111E-2</v>
          </cell>
          <cell r="J645">
            <v>1.3224599771197694E-2</v>
          </cell>
        </row>
        <row r="646">
          <cell r="B646" t="str">
            <v>RHEM-SHSTG-CHPWOD</v>
          </cell>
          <cell r="C646" t="str">
            <v>VAR_fout</v>
          </cell>
          <cell r="D646" t="str">
            <v>RHEM_LTH_CHPWOD</v>
          </cell>
          <cell r="E646">
            <v>5.6766465258906499E-4</v>
          </cell>
          <cell r="F646">
            <v>5.9054821045447859E-4</v>
          </cell>
          <cell r="G646">
            <v>2.5977299632913364E-4</v>
          </cell>
          <cell r="H646">
            <v>4.3261638978628645E-4</v>
          </cell>
          <cell r="I646">
            <v>5.0868472907340957E-2</v>
          </cell>
          <cell r="J646">
            <v>1.3224599771197677E-2</v>
          </cell>
        </row>
        <row r="647">
          <cell r="B647" t="str">
            <v>RHEM-SHSTG-CHPWOD</v>
          </cell>
          <cell r="C647" t="str">
            <v>VAR_fin</v>
          </cell>
          <cell r="D647" t="str">
            <v>AUX_REM-CHPWOD_IN</v>
          </cell>
          <cell r="E647">
            <v>4.4276828063192391E-4</v>
          </cell>
          <cell r="F647">
            <v>4.4341598627692722E-4</v>
          </cell>
          <cell r="G647">
            <v>2.0686813419205604E-4</v>
          </cell>
          <cell r="H647">
            <v>5.492832132402549E-4</v>
          </cell>
          <cell r="I647">
            <v>5.9853945124530433E-2</v>
          </cell>
          <cell r="J647">
            <v>1.4702413618675001E-2</v>
          </cell>
        </row>
        <row r="648">
          <cell r="B648" t="str">
            <v>RHEM-SHSTG-CHPWOD</v>
          </cell>
          <cell r="C648" t="str">
            <v>VAR_fin</v>
          </cell>
          <cell r="D648" t="str">
            <v>RHEM_LTH_CHPWOD</v>
          </cell>
          <cell r="E648">
            <v>4.4276828063192391E-4</v>
          </cell>
          <cell r="F648">
            <v>4.4341598627692722E-4</v>
          </cell>
          <cell r="G648">
            <v>2.0686813419205604E-4</v>
          </cell>
          <cell r="H648">
            <v>5.492832132402549E-4</v>
          </cell>
          <cell r="I648">
            <v>5.9853945124530433E-2</v>
          </cell>
          <cell r="J648">
            <v>1.4702413618675001E-2</v>
          </cell>
        </row>
        <row r="649">
          <cell r="B649" t="str">
            <v>RHEM-SHSTG-CHPWOD</v>
          </cell>
          <cell r="C649" t="str">
            <v>VAR_ncap</v>
          </cell>
          <cell r="D649" t="str">
            <v>-</v>
          </cell>
          <cell r="E649">
            <v>2.4248754468642698E-2</v>
          </cell>
          <cell r="F649">
            <v>6.09892648947532E-4</v>
          </cell>
          <cell r="G649">
            <v>9.4120788839733996E-4</v>
          </cell>
          <cell r="H649">
            <v>7.6814437353298201E-4</v>
          </cell>
          <cell r="I649">
            <v>2.2334432657199299E-3</v>
          </cell>
          <cell r="J649">
            <v>4.8359166516307797E-3</v>
          </cell>
        </row>
        <row r="650">
          <cell r="B650" t="str">
            <v>RHEM-SHSTG-CHPWOD</v>
          </cell>
          <cell r="C650" t="str">
            <v>VAR_cap</v>
          </cell>
          <cell r="D650" t="str">
            <v>-</v>
          </cell>
          <cell r="E650">
            <v>2.4248754468642698E-2</v>
          </cell>
          <cell r="F650">
            <v>2.4791294836178174E-2</v>
          </cell>
          <cell r="G650">
            <v>2.555656587783495E-2</v>
          </cell>
          <cell r="H650">
            <v>2.6041762901325784E-2</v>
          </cell>
          <cell r="I650">
            <v>3.3107986930232099E-2</v>
          </cell>
          <cell r="J650">
            <v>1.9187287750042387E-2</v>
          </cell>
        </row>
        <row r="651">
          <cell r="B651" t="str">
            <v>RHNM-CHPGFC</v>
          </cell>
          <cell r="C651" t="str">
            <v>VAR_fout</v>
          </cell>
          <cell r="D651" t="str">
            <v>CO2_R</v>
          </cell>
          <cell r="H651">
            <v>1.7778783828883301E-3</v>
          </cell>
          <cell r="I651">
            <v>7.16577931179192</v>
          </cell>
          <cell r="J651">
            <v>6.7061413519085296</v>
          </cell>
        </row>
        <row r="652">
          <cell r="B652" t="str">
            <v>RHNM-CHPGFC</v>
          </cell>
          <cell r="C652" t="str">
            <v>VAR_fout</v>
          </cell>
          <cell r="D652" t="str">
            <v>RHNM_NKEV_GAS_ELC_CHP</v>
          </cell>
          <cell r="H652">
            <v>1.3239519872572669E-5</v>
          </cell>
          <cell r="I652">
            <v>5.5903242857951112E-2</v>
          </cell>
          <cell r="J652">
            <v>5.350644695671701E-2</v>
          </cell>
        </row>
        <row r="653">
          <cell r="B653" t="str">
            <v>RHNM-CHPGFC</v>
          </cell>
          <cell r="C653" t="str">
            <v>VAR_fout</v>
          </cell>
          <cell r="D653" t="str">
            <v>RHNM_LTH_CHPNGA</v>
          </cell>
          <cell r="H653">
            <v>1.4828262257281395E-5</v>
          </cell>
          <cell r="I653">
            <v>5.9257437429428225E-2</v>
          </cell>
          <cell r="J653">
            <v>5.350644695671701E-2</v>
          </cell>
        </row>
        <row r="654">
          <cell r="B654" t="str">
            <v>RHNM-CHPGFC</v>
          </cell>
          <cell r="C654" t="str">
            <v>VAR_fin</v>
          </cell>
          <cell r="D654" t="str">
            <v>RNGA</v>
          </cell>
          <cell r="H654">
            <v>3.152266636326827E-5</v>
          </cell>
          <cell r="I654">
            <v>0.12705282467716164</v>
          </cell>
          <cell r="J654">
            <v>0.11890321545937123</v>
          </cell>
        </row>
        <row r="655">
          <cell r="B655" t="str">
            <v>RHNM-CHPGFC</v>
          </cell>
          <cell r="C655" t="str">
            <v>VAR_ncap</v>
          </cell>
          <cell r="D655" t="str">
            <v>-</v>
          </cell>
          <cell r="H655">
            <v>6.81028865489924E-5</v>
          </cell>
          <cell r="I655">
            <v>4.2652949605528701E-3</v>
          </cell>
          <cell r="J655">
            <v>2.7322475655350101E-6</v>
          </cell>
        </row>
        <row r="656">
          <cell r="B656" t="str">
            <v>RHNM-CHPGFC</v>
          </cell>
          <cell r="C656" t="str">
            <v>VAR_cap</v>
          </cell>
          <cell r="D656" t="str">
            <v>-</v>
          </cell>
          <cell r="H656">
            <v>6.81028865489924E-5</v>
          </cell>
          <cell r="I656">
            <v>4.9720226225833915E-3</v>
          </cell>
          <cell r="J656">
            <v>4.7631974574668008E-3</v>
          </cell>
        </row>
        <row r="657">
          <cell r="B657" t="str">
            <v>G-INTC-EXP00-FR</v>
          </cell>
          <cell r="C657" t="str">
            <v>VAR_fout</v>
          </cell>
          <cell r="D657" t="str">
            <v>ELC_E-FR</v>
          </cell>
          <cell r="E657">
            <v>12.753368332033777</v>
          </cell>
          <cell r="F657">
            <v>6.6386484374797126E-3</v>
          </cell>
          <cell r="G657">
            <v>6.248229575515918E-3</v>
          </cell>
          <cell r="H657">
            <v>2.5333954873481856E-3</v>
          </cell>
          <cell r="I657">
            <v>4.8042322979266984E-3</v>
          </cell>
          <cell r="J657">
            <v>5.6582825468023228E-3</v>
          </cell>
        </row>
        <row r="658">
          <cell r="B658" t="str">
            <v>G-INTC-EXP00-FR</v>
          </cell>
          <cell r="C658" t="str">
            <v>VAR_fin</v>
          </cell>
          <cell r="D658" t="str">
            <v>ELC</v>
          </cell>
          <cell r="E658">
            <v>12.753368332033777</v>
          </cell>
          <cell r="F658">
            <v>6.6386484374797126E-3</v>
          </cell>
          <cell r="G658">
            <v>6.248229575515918E-3</v>
          </cell>
          <cell r="H658">
            <v>2.5333954873481856E-3</v>
          </cell>
          <cell r="I658">
            <v>4.8042322979266984E-3</v>
          </cell>
          <cell r="J658">
            <v>5.6582825468023228E-3</v>
          </cell>
        </row>
        <row r="659">
          <cell r="B659" t="str">
            <v>G-INTC-EXP00-FR</v>
          </cell>
          <cell r="C659" t="str">
            <v>VAR_ncap</v>
          </cell>
          <cell r="D659" t="str">
            <v>-</v>
          </cell>
          <cell r="E659">
            <v>1.2041143441473901E-5</v>
          </cell>
          <cell r="F659">
            <v>9.8240429083371493E-6</v>
          </cell>
          <cell r="G659">
            <v>1.1957100533250399E-5</v>
          </cell>
          <cell r="H659">
            <v>1.3454871009777801E-5</v>
          </cell>
          <cell r="I659">
            <v>1.42313436810229E-5</v>
          </cell>
          <cell r="J659">
            <v>1.8846024065596801E-5</v>
          </cell>
        </row>
        <row r="660">
          <cell r="B660" t="str">
            <v>G-INTC-EXP00-FR</v>
          </cell>
          <cell r="C660" t="str">
            <v>VAR_cap</v>
          </cell>
          <cell r="D660" t="str">
            <v>-</v>
          </cell>
          <cell r="E660">
            <v>1.2999548128172114</v>
          </cell>
          <cell r="F660">
            <v>6.9826547228100111E-3</v>
          </cell>
          <cell r="G660">
            <v>6.8998981666299475E-3</v>
          </cell>
          <cell r="H660">
            <v>6.8269522179229547E-3</v>
          </cell>
          <cell r="I660">
            <v>6.806681525452829E-3</v>
          </cell>
          <cell r="J660">
            <v>6.8169323134941173E-3</v>
          </cell>
        </row>
        <row r="661">
          <cell r="B661" t="str">
            <v>RHNM-EBAT</v>
          </cell>
          <cell r="C661" t="str">
            <v>VAR_fout</v>
          </cell>
          <cell r="D661" t="str">
            <v>RHNM_ELC</v>
          </cell>
          <cell r="E661">
            <v>1.0750499979345213E-2</v>
          </cell>
          <cell r="F661">
            <v>1.0691859367304348E-2</v>
          </cell>
          <cell r="G661">
            <v>1.0839187540748273E-2</v>
          </cell>
          <cell r="H661">
            <v>3.7111423783391085E-3</v>
          </cell>
          <cell r="I661">
            <v>4.2920174263364953E-2</v>
          </cell>
          <cell r="J661">
            <v>4.6495693182154761E-2</v>
          </cell>
        </row>
        <row r="662">
          <cell r="B662" t="str">
            <v>RHNM-EBAT</v>
          </cell>
          <cell r="C662" t="str">
            <v>VAR_fout</v>
          </cell>
          <cell r="D662" t="str">
            <v>AUX_RHNM-EBAT_OUT</v>
          </cell>
          <cell r="E662">
            <v>1.0750499979345223E-2</v>
          </cell>
          <cell r="F662">
            <v>1.0691859367304364E-2</v>
          </cell>
          <cell r="G662">
            <v>1.0839187540748288E-2</v>
          </cell>
          <cell r="H662">
            <v>3.7111423783391141E-3</v>
          </cell>
          <cell r="I662">
            <v>4.2920174263365009E-2</v>
          </cell>
          <cell r="J662">
            <v>4.6495693182154803E-2</v>
          </cell>
        </row>
        <row r="663">
          <cell r="B663" t="str">
            <v>RHNM-EBAT</v>
          </cell>
          <cell r="C663" t="str">
            <v>VAR_fin</v>
          </cell>
          <cell r="D663" t="str">
            <v>RHNM_ELC</v>
          </cell>
          <cell r="E663">
            <v>1.1907296965850951E-2</v>
          </cell>
          <cell r="F663">
            <v>1.1841425858078188E-2</v>
          </cell>
          <cell r="G663">
            <v>1.1989512607683415E-2</v>
          </cell>
          <cell r="H663">
            <v>4.106232512839E-3</v>
          </cell>
          <cell r="I663">
            <v>4.7466054292961614E-2</v>
          </cell>
          <cell r="J663">
            <v>5.1419424140814192E-2</v>
          </cell>
        </row>
        <row r="664">
          <cell r="B664" t="str">
            <v>RHNM-EBAT</v>
          </cell>
          <cell r="C664" t="str">
            <v>VAR_fin</v>
          </cell>
          <cell r="D664" t="str">
            <v>AUX_RHNM-EBAT_IN</v>
          </cell>
          <cell r="E664">
            <v>1.1907296965850951E-2</v>
          </cell>
          <cell r="F664">
            <v>1.1841425858078188E-2</v>
          </cell>
          <cell r="G664">
            <v>1.1989512607683415E-2</v>
          </cell>
          <cell r="H664">
            <v>4.106232512839E-3</v>
          </cell>
          <cell r="I664">
            <v>4.7466054292961614E-2</v>
          </cell>
          <cell r="J664">
            <v>5.1419424140814192E-2</v>
          </cell>
        </row>
        <row r="665">
          <cell r="B665" t="str">
            <v>RHNM-EBAT</v>
          </cell>
          <cell r="C665" t="str">
            <v>VAR_ncap</v>
          </cell>
          <cell r="D665" t="str">
            <v>-</v>
          </cell>
          <cell r="E665">
            <v>4.4138668547563003E-3</v>
          </cell>
          <cell r="F665">
            <v>7.0146404464881901E-6</v>
          </cell>
          <cell r="G665">
            <v>3.4570339483309698E-5</v>
          </cell>
          <cell r="H665">
            <v>1.2875792234030301E-2</v>
          </cell>
          <cell r="I665">
            <v>1.58812755018071E-2</v>
          </cell>
          <cell r="J665">
            <v>3.0044738201287401E-2</v>
          </cell>
        </row>
        <row r="666">
          <cell r="B666" t="str">
            <v>RHNM-EBAT</v>
          </cell>
          <cell r="C666" t="str">
            <v>VAR_cap</v>
          </cell>
          <cell r="D666" t="str">
            <v>-</v>
          </cell>
          <cell r="E666">
            <v>4.4163042693984803E-3</v>
          </cell>
          <cell r="F666">
            <v>4.4199108871700605E-3</v>
          </cell>
          <cell r="G666">
            <v>4.4506791139241114E-3</v>
          </cell>
          <cell r="H666">
            <v>1.6123472342660816E-2</v>
          </cell>
          <cell r="I666">
            <v>3.0279093068566552E-2</v>
          </cell>
          <cell r="J666">
            <v>4.0133301058377494E-2</v>
          </cell>
        </row>
        <row r="667">
          <cell r="B667" t="str">
            <v>ITOT-CHPWST</v>
          </cell>
          <cell r="C667" t="str">
            <v>VAR_fout</v>
          </cell>
          <cell r="D667" t="str">
            <v>ITOT_LTH_CHP</v>
          </cell>
          <cell r="E667">
            <v>1.9348936756277308</v>
          </cell>
          <cell r="F667">
            <v>1.8588235968663129</v>
          </cell>
          <cell r="G667">
            <v>2.5503305591876173</v>
          </cell>
          <cell r="H667">
            <v>2.3158676321157317</v>
          </cell>
          <cell r="I667">
            <v>3.2404013006370569</v>
          </cell>
          <cell r="J667">
            <v>1.7069012072567433E-3</v>
          </cell>
        </row>
        <row r="668">
          <cell r="B668" t="str">
            <v>ITOT-CHPWST</v>
          </cell>
          <cell r="C668" t="str">
            <v>VAR_fout</v>
          </cell>
          <cell r="D668" t="str">
            <v>ITOT_KEV_WST_ELC_CHP</v>
          </cell>
          <cell r="E668">
            <v>0.23005357121902872</v>
          </cell>
          <cell r="F668">
            <v>0.23016454846347228</v>
          </cell>
          <cell r="G668">
            <v>0.33671168877001989</v>
          </cell>
          <cell r="H668">
            <v>0.34371117046355926</v>
          </cell>
          <cell r="I668">
            <v>0.63975841915920084</v>
          </cell>
          <cell r="J668">
            <v>5.0317711512707123E-4</v>
          </cell>
        </row>
        <row r="669">
          <cell r="B669" t="str">
            <v>ITOT-CHPWST</v>
          </cell>
          <cell r="C669" t="str">
            <v>VAR_fout</v>
          </cell>
          <cell r="D669" t="str">
            <v>CO2_I</v>
          </cell>
          <cell r="E669">
            <v>344.47143655173397</v>
          </cell>
          <cell r="F669">
            <v>344.64738780404298</v>
          </cell>
          <cell r="G669">
            <v>504.20378072900201</v>
          </cell>
          <cell r="H669">
            <v>514.68504779138902</v>
          </cell>
          <cell r="I669">
            <v>957.99648319782102</v>
          </cell>
          <cell r="J669">
            <v>0.75347489346194196</v>
          </cell>
        </row>
        <row r="670">
          <cell r="B670" t="str">
            <v>ITOT-CHPWST</v>
          </cell>
          <cell r="C670" t="str">
            <v>VAR_fin</v>
          </cell>
          <cell r="D670" t="str">
            <v>IWST</v>
          </cell>
          <cell r="E670">
            <v>3.7119766869798938</v>
          </cell>
          <cell r="F670">
            <v>3.7138727134056375</v>
          </cell>
          <cell r="G670">
            <v>5.4332303957866586</v>
          </cell>
          <cell r="H670">
            <v>5.5461750839589383</v>
          </cell>
          <cell r="I670">
            <v>10.323237965493758</v>
          </cell>
          <cell r="J670">
            <v>8.1193415243743759E-3</v>
          </cell>
        </row>
        <row r="671">
          <cell r="B671" t="str">
            <v>ITOT-CHPWST</v>
          </cell>
          <cell r="C671" t="str">
            <v>VAR_ncap</v>
          </cell>
          <cell r="D671" t="str">
            <v>-</v>
          </cell>
          <cell r="F671">
            <v>8.9501888593941496E-6</v>
          </cell>
          <cell r="G671">
            <v>7.7133471244909104E-6</v>
          </cell>
          <cell r="H671">
            <v>1.47958923386256E-2</v>
          </cell>
          <cell r="I671">
            <v>1.4812263789564199E-6</v>
          </cell>
          <cell r="J671">
            <v>3.7812295919957498E-7</v>
          </cell>
        </row>
        <row r="672">
          <cell r="B672" t="str">
            <v>ITOT-CHPWST</v>
          </cell>
          <cell r="C672" t="str">
            <v>VAR_cap</v>
          </cell>
          <cell r="D672" t="str">
            <v>-</v>
          </cell>
          <cell r="E672">
            <v>4.6497582585033309E-2</v>
          </cell>
          <cell r="F672">
            <v>1.7211660941761894E-2</v>
          </cell>
          <cell r="G672">
            <v>1.7206463469552583E-2</v>
          </cell>
          <cell r="H672">
            <v>2.8370608218191495E-2</v>
          </cell>
          <cell r="I672">
            <v>2.6132895190014913E-2</v>
          </cell>
          <cell r="J672">
            <v>8.4727256388531999E-4</v>
          </cell>
        </row>
        <row r="673">
          <cell r="B673" t="str">
            <v>CAES-EBAT</v>
          </cell>
          <cell r="C673" t="str">
            <v>VAR_fout</v>
          </cell>
          <cell r="D673" t="str">
            <v>ELC13</v>
          </cell>
          <cell r="E673">
            <v>9.5887953797421849E-2</v>
          </cell>
          <cell r="F673">
            <v>3.2116964386312473E-2</v>
          </cell>
          <cell r="G673">
            <v>9.4381266806551123E-2</v>
          </cell>
          <cell r="H673">
            <v>3.8801134348479194E-4</v>
          </cell>
          <cell r="I673">
            <v>1.6233071021883039E-2</v>
          </cell>
          <cell r="J673">
            <v>2.2651254038046638E-2</v>
          </cell>
        </row>
        <row r="674">
          <cell r="B674" t="str">
            <v>CAES-EBAT</v>
          </cell>
          <cell r="C674" t="str">
            <v>VAR_fout</v>
          </cell>
          <cell r="D674" t="str">
            <v>AUX_CAES_OUT</v>
          </cell>
          <cell r="E674">
            <v>9.5887953797421752E-2</v>
          </cell>
          <cell r="F674">
            <v>3.2116964386312438E-2</v>
          </cell>
          <cell r="G674">
            <v>9.4381266806551067E-2</v>
          </cell>
          <cell r="H674">
            <v>3.8801134348479183E-4</v>
          </cell>
          <cell r="I674">
            <v>1.6233071021883032E-2</v>
          </cell>
          <cell r="J674">
            <v>2.265125403804661E-2</v>
          </cell>
        </row>
        <row r="675">
          <cell r="B675" t="str">
            <v>CAES-EBAT</v>
          </cell>
          <cell r="C675" t="str">
            <v>VAR_fin</v>
          </cell>
          <cell r="D675" t="str">
            <v>ELC13</v>
          </cell>
          <cell r="E675">
            <v>0.13702766512225123</v>
          </cell>
          <cell r="F675">
            <v>4.5901579956372771E-2</v>
          </cell>
          <cell r="G675">
            <v>0.13483766884888237</v>
          </cell>
          <cell r="H675">
            <v>5.6201464162444531E-4</v>
          </cell>
          <cell r="I675">
            <v>2.3203423242741501E-2</v>
          </cell>
          <cell r="J675">
            <v>3.2366647053907877E-2</v>
          </cell>
        </row>
        <row r="676">
          <cell r="B676" t="str">
            <v>CAES-EBAT</v>
          </cell>
          <cell r="C676" t="str">
            <v>VAR_fin</v>
          </cell>
          <cell r="D676" t="str">
            <v>AUX_CAES_IN</v>
          </cell>
          <cell r="E676">
            <v>0.13702766512225123</v>
          </cell>
          <cell r="F676">
            <v>4.5901579956372771E-2</v>
          </cell>
          <cell r="G676">
            <v>0.13483766884888237</v>
          </cell>
          <cell r="H676">
            <v>5.6201464162444531E-4</v>
          </cell>
          <cell r="I676">
            <v>2.3203423242741501E-2</v>
          </cell>
          <cell r="J676">
            <v>3.2366647053907877E-2</v>
          </cell>
        </row>
        <row r="677">
          <cell r="B677" t="str">
            <v>CAES-EBAT</v>
          </cell>
          <cell r="C677" t="str">
            <v>VAR_ncap</v>
          </cell>
          <cell r="D677" t="str">
            <v>-</v>
          </cell>
          <cell r="F677">
            <v>1.07182480605957E-5</v>
          </cell>
          <cell r="G677">
            <v>1.0081463642113601E-5</v>
          </cell>
          <cell r="H677">
            <v>8.8037970516956494E-6</v>
          </cell>
          <cell r="I677">
            <v>1.70701255247482E-5</v>
          </cell>
          <cell r="J677">
            <v>2.4141676108318399E-4</v>
          </cell>
        </row>
        <row r="678">
          <cell r="B678" t="str">
            <v>CAES-EBAT</v>
          </cell>
          <cell r="C678" t="str">
            <v>VAR_cap</v>
          </cell>
          <cell r="D678" t="str">
            <v>-</v>
          </cell>
          <cell r="E678">
            <v>0.1</v>
          </cell>
          <cell r="F678">
            <v>9.9755193850200222E-2</v>
          </cell>
          <cell r="G678">
            <v>9.9752811191721039E-2</v>
          </cell>
          <cell r="H678">
            <v>9.9748887833030569E-2</v>
          </cell>
          <cell r="I678">
            <v>9.9756725891707101E-2</v>
          </cell>
          <cell r="J678">
            <v>9.9987540866037741E-2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17.5455174358767</v>
          </cell>
          <cell r="F679">
            <v>0.29470365416236599</v>
          </cell>
          <cell r="G679">
            <v>4.3123856948291603</v>
          </cell>
          <cell r="H679">
            <v>2.7475356707795202E-3</v>
          </cell>
          <cell r="I679">
            <v>81.927644994670203</v>
          </cell>
          <cell r="J679">
            <v>56.886471734606197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0.11208380417715914</v>
          </cell>
          <cell r="F680">
            <v>2.3288010601401634E-3</v>
          </cell>
          <cell r="G680">
            <v>3.1669605074168952E-2</v>
          </cell>
          <cell r="H680">
            <v>2.1280121278790016E-5</v>
          </cell>
          <cell r="I680">
            <v>0.8879144955659054</v>
          </cell>
          <cell r="J680">
            <v>0.61414850928749787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5.1594132081549338E-2</v>
          </cell>
          <cell r="F681">
            <v>1.0825266736065084E-3</v>
          </cell>
          <cell r="G681">
            <v>1.494173341351788E-2</v>
          </cell>
          <cell r="H681">
            <v>1.0296832876833865E-5</v>
          </cell>
          <cell r="I681">
            <v>0.44034783926439214</v>
          </cell>
          <cell r="J681">
            <v>0.31210825881823684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0.31109073467866527</v>
          </cell>
          <cell r="F682">
            <v>5.2252420950774084E-3</v>
          </cell>
          <cell r="G682">
            <v>7.6460739270020547E-2</v>
          </cell>
          <cell r="H682">
            <v>4.8715171467722051E-5</v>
          </cell>
          <cell r="I682">
            <v>1.4526178190544345</v>
          </cell>
          <cell r="J682">
            <v>1.0086253853653577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1.2240881068057E-6</v>
          </cell>
          <cell r="G683">
            <v>7.9101729646273997E-4</v>
          </cell>
          <cell r="H683">
            <v>8.9135321178952698E-7</v>
          </cell>
          <cell r="I683">
            <v>3.2054011124943299E-2</v>
          </cell>
          <cell r="J683">
            <v>6.6568245106066197E-7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1.1926362413130664E-2</v>
          </cell>
          <cell r="F684">
            <v>3.1913500050939625E-4</v>
          </cell>
          <cell r="G684">
            <v>1.1085783122768752E-3</v>
          </cell>
          <cell r="H684">
            <v>2.4840503911448958E-6</v>
          </cell>
          <cell r="I684">
            <v>3.269321223746291E-2</v>
          </cell>
          <cell r="J684">
            <v>2.4363529929132158E-2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1.5959964117650536E-6</v>
          </cell>
          <cell r="I685">
            <v>0.50894158467339135</v>
          </cell>
          <cell r="J685">
            <v>1.5156572980773886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1.6121175876414701E-6</v>
          </cell>
          <cell r="I686">
            <v>0.5140824087610012</v>
          </cell>
          <cell r="J686">
            <v>1.530966967754938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4.16282402265852E-4</v>
          </cell>
          <cell r="I687">
            <v>6.8290403243524103E-2</v>
          </cell>
          <cell r="J687">
            <v>0.134869225235383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4.16282402265852E-4</v>
          </cell>
          <cell r="I688">
            <v>6.9168240186588598E-2</v>
          </cell>
          <cell r="J688">
            <v>0.20403746542197199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4.0477138192634978</v>
          </cell>
          <cell r="F689">
            <v>4.5858047681030634</v>
          </cell>
          <cell r="G689">
            <v>3.0531665886383506</v>
          </cell>
          <cell r="H689">
            <v>3.032136808956257</v>
          </cell>
          <cell r="I689">
            <v>4.9163162764694821</v>
          </cell>
          <cell r="J689">
            <v>4.7587125794582281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4.0477138192634978</v>
          </cell>
          <cell r="F690">
            <v>4.5858047681030634</v>
          </cell>
          <cell r="G690">
            <v>3.0531665886383506</v>
          </cell>
          <cell r="H690">
            <v>3.032136808956257</v>
          </cell>
          <cell r="I690">
            <v>4.9163162764694821</v>
          </cell>
          <cell r="J690">
            <v>4.7587125794582281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1.4243266744270981</v>
          </cell>
          <cell r="F691">
            <v>1.5783656540041517</v>
          </cell>
          <cell r="G691">
            <v>1.4829581678784831</v>
          </cell>
          <cell r="H691">
            <v>1.3239489760408005</v>
          </cell>
          <cell r="I691">
            <v>1.666178244163002</v>
          </cell>
          <cell r="J691">
            <v>1.6662144174982436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0.95937694005854024</v>
          </cell>
          <cell r="F692">
            <v>1.1059730139465545</v>
          </cell>
          <cell r="G692">
            <v>1.1059707892769557</v>
          </cell>
          <cell r="H692">
            <v>1.1059691131813003</v>
          </cell>
          <cell r="I692">
            <v>1.8318693706389726</v>
          </cell>
          <cell r="J692">
            <v>1.8319091411887869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2.645420575486118</v>
          </cell>
          <cell r="F693">
            <v>3.0485681315911708</v>
          </cell>
          <cell r="G693">
            <v>3.0531665886383506</v>
          </cell>
          <cell r="H693">
            <v>3.032136808956257</v>
          </cell>
          <cell r="I693">
            <v>4.9163162764694821</v>
          </cell>
          <cell r="J693">
            <v>4.7587125794582281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2.6380287531595499E-2</v>
          </cell>
          <cell r="G694">
            <v>6.5389966622624801E-3</v>
          </cell>
          <cell r="H694">
            <v>1.2151132124910299E-2</v>
          </cell>
          <cell r="I694">
            <v>0.10535765446201301</v>
          </cell>
          <cell r="J694">
            <v>0.103992801787001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7.351198243817951E-2</v>
          </cell>
          <cell r="F695">
            <v>8.4904615195932218E-2</v>
          </cell>
          <cell r="G695">
            <v>8.4765475805950799E-2</v>
          </cell>
          <cell r="H695">
            <v>8.4756521032349319E-2</v>
          </cell>
          <cell r="I695">
            <v>0.16939546399036284</v>
          </cell>
          <cell r="J695">
            <v>0.20354247801471359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1.8483501743361366E-3</v>
          </cell>
          <cell r="I696">
            <v>4.6059032579968294E-3</v>
          </cell>
          <cell r="J696">
            <v>3.1906358006612387E-2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1.3910769265010232E-3</v>
          </cell>
          <cell r="I697">
            <v>2.9000131624424465E-3</v>
          </cell>
          <cell r="J697">
            <v>1.8034028438520051E-2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3.8912635249181812E-3</v>
          </cell>
          <cell r="I698">
            <v>8.5294504777719063E-3</v>
          </cell>
          <cell r="J698">
            <v>5.5489318272369373E-2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2.7337757247883099E-4</v>
          </cell>
          <cell r="I699">
            <v>2.7195196927525401E-4</v>
          </cell>
          <cell r="J699">
            <v>1.71928252334847E-3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2.7337757247883099E-4</v>
          </cell>
          <cell r="I700">
            <v>6.2432127175940713E-4</v>
          </cell>
          <cell r="J700">
            <v>1.9867710661655553E-3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1.0753654627413007E-2</v>
          </cell>
          <cell r="F701">
            <v>1.0694779929055135E-2</v>
          </cell>
          <cell r="G701">
            <v>1.0842294096117169E-2</v>
          </cell>
          <cell r="H701">
            <v>3.7147299324661693E-3</v>
          </cell>
          <cell r="I701">
            <v>4.2292132093882724E-2</v>
          </cell>
          <cell r="J701">
            <v>4.6478733765493802E-2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1.075365462741302E-2</v>
          </cell>
          <cell r="F702">
            <v>1.0694779929055142E-2</v>
          </cell>
          <cell r="G702">
            <v>1.0842294096117184E-2</v>
          </cell>
          <cell r="H702">
            <v>3.7147299324661737E-3</v>
          </cell>
          <cell r="I702">
            <v>4.2292132093882773E-2</v>
          </cell>
          <cell r="J702">
            <v>4.6478733765493871E-2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1.191078558009514E-2</v>
          </cell>
          <cell r="F703">
            <v>1.1844684819340886E-2</v>
          </cell>
          <cell r="G703">
            <v>1.1992948037903793E-2</v>
          </cell>
          <cell r="H703">
            <v>4.110199862653801E-3</v>
          </cell>
          <cell r="I703">
            <v>4.6771522773456274E-2</v>
          </cell>
          <cell r="J703">
            <v>5.1400669318964289E-2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1.191078558009514E-2</v>
          </cell>
          <cell r="F704">
            <v>1.1844684819340886E-2</v>
          </cell>
          <cell r="G704">
            <v>1.1992948037903793E-2</v>
          </cell>
          <cell r="H704">
            <v>4.110199862653801E-3</v>
          </cell>
          <cell r="I704">
            <v>4.6771522773456274E-2</v>
          </cell>
          <cell r="J704">
            <v>5.1400669318964289E-2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4.4150473329773697E-3</v>
          </cell>
          <cell r="F705">
            <v>7.0113847732770798E-6</v>
          </cell>
          <cell r="G705">
            <v>3.43814735787256E-5</v>
          </cell>
          <cell r="H705">
            <v>1.28885165668969E-2</v>
          </cell>
          <cell r="I705">
            <v>1.5678282276112499E-2</v>
          </cell>
          <cell r="J705">
            <v>3.0130221631584801E-2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4.4174846668590378E-3</v>
          </cell>
          <cell r="F706">
            <v>4.4210865610451507E-3</v>
          </cell>
          <cell r="G706">
            <v>4.4516604750364126E-3</v>
          </cell>
          <cell r="H706">
            <v>1.6136880106798666E-2</v>
          </cell>
          <cell r="I706">
            <v>3.0066415736944557E-2</v>
          </cell>
          <cell r="J706">
            <v>4.0114888298556022E-2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2106.8165314194298</v>
          </cell>
          <cell r="F707">
            <v>1731.775261793</v>
          </cell>
          <cell r="G707">
            <v>1746.96158743568</v>
          </cell>
          <cell r="H707">
            <v>691.41909176446995</v>
          </cell>
          <cell r="I707">
            <v>200.159411946657</v>
          </cell>
          <cell r="J707">
            <v>36.610490506149901</v>
          </cell>
        </row>
        <row r="708">
          <cell r="B708" t="str">
            <v>D-INGA</v>
          </cell>
          <cell r="C708" t="str">
            <v>VAR_fout</v>
          </cell>
          <cell r="D708" t="str">
            <v>IH2</v>
          </cell>
          <cell r="I708">
            <v>0.18683617263907482</v>
          </cell>
          <cell r="J708">
            <v>8.60355709546613E-2</v>
          </cell>
        </row>
        <row r="709">
          <cell r="B709" t="str">
            <v>D-INGA</v>
          </cell>
          <cell r="C709" t="str">
            <v>VAR_fout</v>
          </cell>
          <cell r="D709" t="str">
            <v>INGA</v>
          </cell>
          <cell r="E709">
            <v>37.553684659991376</v>
          </cell>
          <cell r="F709">
            <v>30.607562010985102</v>
          </cell>
          <cell r="G709">
            <v>30.876239670408598</v>
          </cell>
          <cell r="H709">
            <v>12.220232046234088</v>
          </cell>
          <cell r="I709">
            <v>6.0184845028745571</v>
          </cell>
          <cell r="J709">
            <v>3.1282609861927591</v>
          </cell>
        </row>
        <row r="710">
          <cell r="B710" t="str">
            <v>D-INGA</v>
          </cell>
          <cell r="C710" t="str">
            <v>VAR_fin</v>
          </cell>
          <cell r="D710" t="str">
            <v>NGA</v>
          </cell>
          <cell r="E710">
            <v>37.354903039351463</v>
          </cell>
          <cell r="F710">
            <v>30.705235138173627</v>
          </cell>
          <cell r="G710">
            <v>30.974496231129091</v>
          </cell>
          <cell r="H710">
            <v>12.259203754689185</v>
          </cell>
          <cell r="I710">
            <v>3.5489257437350537</v>
          </cell>
          <cell r="J710">
            <v>0.6491221720948569</v>
          </cell>
        </row>
        <row r="711">
          <cell r="B711" t="str">
            <v>D-INGA</v>
          </cell>
          <cell r="C711" t="str">
            <v>VAR_fin</v>
          </cell>
          <cell r="D711" t="str">
            <v>BNGA</v>
          </cell>
          <cell r="E711">
            <v>0.318751357258649</v>
          </cell>
          <cell r="F711">
            <v>3.8179534209301108E-4</v>
          </cell>
          <cell r="G711">
            <v>3.8127933627723473E-4</v>
          </cell>
          <cell r="H711">
            <v>3.8201328124891723E-4</v>
          </cell>
          <cell r="I711">
            <v>2.4905708036713095</v>
          </cell>
          <cell r="J711">
            <v>2.490132880271124</v>
          </cell>
        </row>
        <row r="712">
          <cell r="B712" t="str">
            <v>D-INGA</v>
          </cell>
          <cell r="C712" t="str">
            <v>VAR_fin</v>
          </cell>
          <cell r="D712" t="str">
            <v>H2</v>
          </cell>
          <cell r="I712">
            <v>0.18683617263905494</v>
          </cell>
          <cell r="J712">
            <v>8.6029739148181836E-2</v>
          </cell>
        </row>
        <row r="713">
          <cell r="B713" t="str">
            <v>D-INGA</v>
          </cell>
          <cell r="C713" t="str">
            <v>VAR_ncap</v>
          </cell>
          <cell r="D713" t="str">
            <v>-</v>
          </cell>
          <cell r="E713">
            <v>2.4113556727842999E-5</v>
          </cell>
          <cell r="F713">
            <v>5.7708884127632402E-6</v>
          </cell>
          <cell r="G713">
            <v>6.9289059224978597E-6</v>
          </cell>
          <cell r="H713">
            <v>9.4456791982806595E-6</v>
          </cell>
          <cell r="I713">
            <v>7.76991390375271E-5</v>
          </cell>
          <cell r="J713">
            <v>6.1596666800493795E-4</v>
          </cell>
        </row>
        <row r="714">
          <cell r="B714" t="str">
            <v>D-INGA</v>
          </cell>
          <cell r="C714" t="str">
            <v>VAR_cap</v>
          </cell>
          <cell r="D714" t="str">
            <v>-</v>
          </cell>
          <cell r="E714">
            <v>1.9845074838228278</v>
          </cell>
          <cell r="F714">
            <v>1.9845132547112405</v>
          </cell>
          <cell r="G714">
            <v>1.9845201836171631</v>
          </cell>
          <cell r="H714">
            <v>1.9845296292963615</v>
          </cell>
          <cell r="I714">
            <v>1.9846566384824988</v>
          </cell>
          <cell r="J714">
            <v>1.0962486723303237</v>
          </cell>
        </row>
        <row r="715">
          <cell r="B715" t="str">
            <v>EWIND</v>
          </cell>
          <cell r="C715" t="str">
            <v>VAR_fout</v>
          </cell>
          <cell r="D715" t="str">
            <v>ELC35</v>
          </cell>
          <cell r="E715">
            <v>0.52400000000000047</v>
          </cell>
          <cell r="F715">
            <v>0.54529215891333116</v>
          </cell>
          <cell r="G715">
            <v>1.053736054748607</v>
          </cell>
          <cell r="H715">
            <v>2.0502647086101042</v>
          </cell>
          <cell r="I715">
            <v>5.0205316414291739</v>
          </cell>
          <cell r="J715">
            <v>6.1200039083223396</v>
          </cell>
        </row>
        <row r="716">
          <cell r="B716" t="str">
            <v>EWIND</v>
          </cell>
          <cell r="C716" t="str">
            <v>VAR_fin</v>
          </cell>
          <cell r="D716" t="str">
            <v>WND</v>
          </cell>
          <cell r="E716">
            <v>0.52400000000000047</v>
          </cell>
          <cell r="F716">
            <v>0.54529215891333116</v>
          </cell>
          <cell r="G716">
            <v>1.053736054748607</v>
          </cell>
          <cell r="H716">
            <v>2.0502647086101042</v>
          </cell>
          <cell r="I716">
            <v>5.0205316414291739</v>
          </cell>
          <cell r="J716">
            <v>6.1200039083223396</v>
          </cell>
        </row>
        <row r="717">
          <cell r="B717" t="str">
            <v>EWIND</v>
          </cell>
          <cell r="C717" t="str">
            <v>VAR_ncap</v>
          </cell>
          <cell r="D717" t="str">
            <v>-</v>
          </cell>
          <cell r="F717">
            <v>7.1321365521894503E-3</v>
          </cell>
          <cell r="G717">
            <v>9.1537673588053994E-2</v>
          </cell>
          <cell r="H717">
            <v>0.188532180047601</v>
          </cell>
          <cell r="I717">
            <v>0.24900705809804599</v>
          </cell>
          <cell r="J717">
            <v>0.48215244418057501</v>
          </cell>
        </row>
        <row r="718">
          <cell r="B718" t="str">
            <v>EWIND</v>
          </cell>
          <cell r="C718" t="str">
            <v>VAR_cap</v>
          </cell>
          <cell r="D718" t="str">
            <v>-</v>
          </cell>
          <cell r="E718">
            <v>8.7120000000000003E-2</v>
          </cell>
          <cell r="F718">
            <v>9.0660024588796642E-2</v>
          </cell>
          <cell r="G718">
            <v>0.1751936156707796</v>
          </cell>
          <cell r="H718">
            <v>0.3408760508966503</v>
          </cell>
          <cell r="I718">
            <v>0.83471227382623769</v>
          </cell>
          <cell r="J718">
            <v>1.01751010360399</v>
          </cell>
        </row>
        <row r="719">
          <cell r="B719" t="str">
            <v>EGEO</v>
          </cell>
          <cell r="C719" t="str">
            <v>VAR_ncap</v>
          </cell>
          <cell r="D719" t="str">
            <v>-</v>
          </cell>
          <cell r="I719">
            <v>9.9577281970606807E-7</v>
          </cell>
          <cell r="J719">
            <v>3.5085236142448398E-7</v>
          </cell>
        </row>
        <row r="720">
          <cell r="B720" t="str">
            <v>EGEO</v>
          </cell>
          <cell r="C720" t="str">
            <v>VAR_cap</v>
          </cell>
          <cell r="D720" t="str">
            <v>-</v>
          </cell>
          <cell r="I720">
            <v>9.9577281970606807E-7</v>
          </cell>
          <cell r="J720">
            <v>1.0915680042655849E-6</v>
          </cell>
        </row>
        <row r="721">
          <cell r="B721" t="str">
            <v>D-SPLT</v>
          </cell>
          <cell r="C721" t="str">
            <v>VAR_fout</v>
          </cell>
          <cell r="D721" t="str">
            <v>SPLT</v>
          </cell>
          <cell r="E721">
            <v>2.0856470745690583</v>
          </cell>
          <cell r="F721">
            <v>2.4000991472025941</v>
          </cell>
          <cell r="G721">
            <v>0.28622917462676073</v>
          </cell>
          <cell r="H721">
            <v>0.25403830230705515</v>
          </cell>
          <cell r="I721">
            <v>0.13179177117577084</v>
          </cell>
          <cell r="J721">
            <v>4.3585786571909327E-2</v>
          </cell>
        </row>
        <row r="722">
          <cell r="B722" t="str">
            <v>D-SPLT</v>
          </cell>
          <cell r="C722" t="str">
            <v>VAR_fin</v>
          </cell>
          <cell r="D722" t="str">
            <v>PLT</v>
          </cell>
          <cell r="E722">
            <v>2.0856470745690583</v>
          </cell>
          <cell r="F722">
            <v>2.4000991472025941</v>
          </cell>
          <cell r="G722">
            <v>0.28622917462676073</v>
          </cell>
          <cell r="H722">
            <v>0.25403830230705515</v>
          </cell>
          <cell r="I722">
            <v>0.13179177117577084</v>
          </cell>
          <cell r="J722">
            <v>4.3585786571909327E-2</v>
          </cell>
        </row>
        <row r="723">
          <cell r="B723" t="str">
            <v>RHES-ESOLPV</v>
          </cell>
          <cell r="C723" t="str">
            <v>VAR_fout</v>
          </cell>
          <cell r="D723" t="str">
            <v>RHES_SOL_ELC</v>
          </cell>
          <cell r="E723">
            <v>2.1349390887346629</v>
          </cell>
          <cell r="F723">
            <v>3.3906653018313095</v>
          </cell>
          <cell r="G723">
            <v>4.0405031772293079</v>
          </cell>
          <cell r="H723">
            <v>4.3441104200933012</v>
          </cell>
          <cell r="I723">
            <v>1.5484214188266276</v>
          </cell>
          <cell r="J723">
            <v>3.5349819961915677E-2</v>
          </cell>
        </row>
        <row r="724">
          <cell r="B724" t="str">
            <v>RHES-ESOLPV</v>
          </cell>
          <cell r="C724" t="str">
            <v>VAR_fin</v>
          </cell>
          <cell r="D724" t="str">
            <v>SOL</v>
          </cell>
          <cell r="E724">
            <v>2.1349390887346629</v>
          </cell>
          <cell r="F724">
            <v>3.3906653018313095</v>
          </cell>
          <cell r="G724">
            <v>4.0405031772293079</v>
          </cell>
          <cell r="H724">
            <v>4.3441104200933012</v>
          </cell>
          <cell r="I724">
            <v>1.5484214188266276</v>
          </cell>
          <cell r="J724">
            <v>3.5349819961915677E-2</v>
          </cell>
        </row>
        <row r="725">
          <cell r="B725" t="str">
            <v>RHES-ESOLPV</v>
          </cell>
          <cell r="C725" t="str">
            <v>VAR_fin</v>
          </cell>
          <cell r="D725" t="str">
            <v>SOLPVC</v>
          </cell>
          <cell r="E725">
            <v>2.1349390887346602</v>
          </cell>
          <cell r="F725">
            <v>3.39066530183131</v>
          </cell>
          <cell r="G725">
            <v>4.0405031772293096</v>
          </cell>
          <cell r="H725">
            <v>4.3441104200933003</v>
          </cell>
          <cell r="I725">
            <v>1.5484214188266301</v>
          </cell>
          <cell r="J725">
            <v>3.5349819961915697E-2</v>
          </cell>
        </row>
        <row r="726">
          <cell r="B726" t="str">
            <v>RHES-ESOLPV</v>
          </cell>
          <cell r="C726" t="str">
            <v>VAR_ncap</v>
          </cell>
          <cell r="D726" t="str">
            <v>-</v>
          </cell>
          <cell r="F726">
            <v>5.1948383866374398E-8</v>
          </cell>
          <cell r="G726">
            <v>4.5222817936286503E-6</v>
          </cell>
          <cell r="H726">
            <v>2.7117272027895402E-6</v>
          </cell>
          <cell r="I726">
            <v>5.6859435771654098E-5</v>
          </cell>
          <cell r="J726">
            <v>1.01252711206505E-2</v>
          </cell>
        </row>
        <row r="727">
          <cell r="B727" t="str">
            <v>RHES-ESOLPV</v>
          </cell>
          <cell r="C727" t="str">
            <v>VAR_cap</v>
          </cell>
          <cell r="D727" t="str">
            <v>-</v>
          </cell>
          <cell r="E727">
            <v>0.67885700000000004</v>
          </cell>
          <cell r="F727">
            <v>1.1558999696265337</v>
          </cell>
          <cell r="G727">
            <v>1.2891615742301776</v>
          </cell>
          <cell r="H727">
            <v>1.2522814510137603</v>
          </cell>
          <cell r="I727">
            <v>0.44637466735908321</v>
          </cell>
          <cell r="J727">
            <v>1.02037611588117E-2</v>
          </cell>
        </row>
        <row r="728">
          <cell r="B728" t="str">
            <v>SUP_DAC</v>
          </cell>
          <cell r="C728" t="str">
            <v>VAR_fout</v>
          </cell>
          <cell r="D728" t="str">
            <v>CO2_O</v>
          </cell>
          <cell r="I728">
            <v>1.3381608844521779E-2</v>
          </cell>
          <cell r="J728">
            <v>0.38893311805301617</v>
          </cell>
        </row>
        <row r="729">
          <cell r="B729" t="str">
            <v>SUP_DAC</v>
          </cell>
          <cell r="C729" t="str">
            <v>VAR_fout</v>
          </cell>
          <cell r="D729" t="str">
            <v>CO2</v>
          </cell>
          <cell r="I729">
            <v>-1.3381608844521799E-2</v>
          </cell>
          <cell r="J729">
            <v>-0.388933118053016</v>
          </cell>
        </row>
        <row r="730">
          <cell r="B730" t="str">
            <v>SUP_DAC</v>
          </cell>
          <cell r="C730" t="str">
            <v>VAR_fin</v>
          </cell>
          <cell r="D730" t="str">
            <v>CHEAT</v>
          </cell>
          <cell r="I730">
            <v>8.8976730284230139E-5</v>
          </cell>
          <cell r="J730">
            <v>2.4789704311313603E-3</v>
          </cell>
        </row>
        <row r="731">
          <cell r="B731" t="str">
            <v>SUP_DAC</v>
          </cell>
          <cell r="C731" t="str">
            <v>VAR_fin</v>
          </cell>
          <cell r="D731" t="str">
            <v>CELC</v>
          </cell>
          <cell r="I731">
            <v>1.8555830931070208E-5</v>
          </cell>
          <cell r="J731">
            <v>3.5392913742824511E-4</v>
          </cell>
        </row>
        <row r="732">
          <cell r="B732" t="str">
            <v>SUP_DAC</v>
          </cell>
          <cell r="C732" t="str">
            <v>VAR_ncap</v>
          </cell>
          <cell r="D732" t="str">
            <v>-</v>
          </cell>
          <cell r="I732">
            <v>1.05379595898961E-2</v>
          </cell>
          <cell r="J732">
            <v>4.6783777112404397E-2</v>
          </cell>
        </row>
        <row r="733">
          <cell r="B733" t="str">
            <v>SUP_DAC</v>
          </cell>
          <cell r="C733" t="str">
            <v>VAR_cap</v>
          </cell>
          <cell r="D733" t="str">
            <v>-</v>
          </cell>
          <cell r="I733">
            <v>1.05379595898961E-2</v>
          </cell>
          <cell r="J733">
            <v>5.4387741834983454E-2</v>
          </cell>
        </row>
        <row r="734">
          <cell r="B734" t="str">
            <v>EHYD-DAM10</v>
          </cell>
          <cell r="C734" t="str">
            <v>VAR_fout</v>
          </cell>
          <cell r="D734" t="str">
            <v>ELC</v>
          </cell>
          <cell r="F734">
            <v>0.52620669898544215</v>
          </cell>
          <cell r="G734">
            <v>0.67187153679337863</v>
          </cell>
          <cell r="H734">
            <v>0.67949493664835681</v>
          </cell>
          <cell r="I734">
            <v>0.7134149886359612</v>
          </cell>
          <cell r="J734">
            <v>0.67939522329456015</v>
          </cell>
        </row>
        <row r="735">
          <cell r="B735" t="str">
            <v>EHYD-DAM10</v>
          </cell>
          <cell r="C735" t="str">
            <v>VAR_fin</v>
          </cell>
          <cell r="D735" t="str">
            <v>HYDD</v>
          </cell>
          <cell r="F735">
            <v>0.52620669898544215</v>
          </cell>
          <cell r="G735">
            <v>0.67187153679337863</v>
          </cell>
          <cell r="H735">
            <v>0.67949493664835681</v>
          </cell>
          <cell r="I735">
            <v>0.7134149886359612</v>
          </cell>
          <cell r="J735">
            <v>0.67939522329456015</v>
          </cell>
        </row>
        <row r="736">
          <cell r="B736" t="str">
            <v>EHYD-DAM10</v>
          </cell>
          <cell r="C736" t="str">
            <v>VAR_ncap</v>
          </cell>
          <cell r="D736" t="str">
            <v>-</v>
          </cell>
          <cell r="F736">
            <v>7.5202716633421193E-2</v>
          </cell>
          <cell r="G736">
            <v>2.6303207694051798E-6</v>
          </cell>
          <cell r="H736">
            <v>1.9109684904286201E-6</v>
          </cell>
          <cell r="I736">
            <v>8.4883712502803794E-6</v>
          </cell>
          <cell r="J736">
            <v>4.65779900649512E-7</v>
          </cell>
        </row>
        <row r="737">
          <cell r="B737" t="str">
            <v>EHYD-DAM10</v>
          </cell>
          <cell r="C737" t="str">
            <v>VAR_cap</v>
          </cell>
          <cell r="D737" t="str">
            <v>-</v>
          </cell>
          <cell r="F737">
            <v>7.5202716633421193E-2</v>
          </cell>
          <cell r="G737">
            <v>7.5205346954190594E-2</v>
          </cell>
          <cell r="H737">
            <v>7.5207257922681098E-2</v>
          </cell>
          <cell r="I737">
            <v>7.5224282326384506E-2</v>
          </cell>
          <cell r="J737">
            <v>7.5224748106285197E-2</v>
          </cell>
        </row>
        <row r="738">
          <cell r="B738" t="str">
            <v>DH-EBAT</v>
          </cell>
          <cell r="C738" t="str">
            <v>VAR_fout</v>
          </cell>
          <cell r="D738" t="str">
            <v>ELC35</v>
          </cell>
          <cell r="E738">
            <v>3.3894676791469097E-2</v>
          </cell>
          <cell r="F738">
            <v>2.8914932584396744E-2</v>
          </cell>
          <cell r="G738">
            <v>3.4058131089532644E-2</v>
          </cell>
          <cell r="H738">
            <v>5.5136418556985863E-3</v>
          </cell>
          <cell r="I738">
            <v>4.6831105219334243E-2</v>
          </cell>
          <cell r="J738">
            <v>0.13473962127293104</v>
          </cell>
        </row>
        <row r="739">
          <cell r="B739" t="str">
            <v>DH-EBAT</v>
          </cell>
          <cell r="C739" t="str">
            <v>VAR_fout</v>
          </cell>
          <cell r="D739" t="str">
            <v>AUX_DH-EBAT_OUT</v>
          </cell>
          <cell r="E739">
            <v>3.3894676791469083E-2</v>
          </cell>
          <cell r="F739">
            <v>2.8914932584396726E-2</v>
          </cell>
          <cell r="G739">
            <v>3.405813108953263E-2</v>
          </cell>
          <cell r="H739">
            <v>5.5136418556985846E-3</v>
          </cell>
          <cell r="I739">
            <v>4.6831105219334236E-2</v>
          </cell>
          <cell r="J739">
            <v>0.13473962127293101</v>
          </cell>
        </row>
        <row r="740">
          <cell r="B740" t="str">
            <v>DH-EBAT</v>
          </cell>
          <cell r="C740" t="str">
            <v>VAR_fin</v>
          </cell>
          <cell r="D740" t="str">
            <v>ELC35</v>
          </cell>
          <cell r="E740">
            <v>3.7904880182755493E-2</v>
          </cell>
          <cell r="F740">
            <v>3.2334149950302093E-2</v>
          </cell>
          <cell r="G740">
            <v>3.8088998600021871E-2</v>
          </cell>
          <cell r="H740">
            <v>6.1711329415462968E-3</v>
          </cell>
          <cell r="I740">
            <v>5.2368947976144165E-2</v>
          </cell>
          <cell r="J740">
            <v>0.15067158893668228</v>
          </cell>
        </row>
        <row r="741">
          <cell r="B741" t="str">
            <v>DH-EBAT</v>
          </cell>
          <cell r="C741" t="str">
            <v>VAR_fin</v>
          </cell>
          <cell r="D741" t="str">
            <v>AUX_DH-EBAT_IN</v>
          </cell>
          <cell r="E741">
            <v>3.7904880182755493E-2</v>
          </cell>
          <cell r="F741">
            <v>3.2334149950302093E-2</v>
          </cell>
          <cell r="G741">
            <v>3.8088998600021871E-2</v>
          </cell>
          <cell r="H741">
            <v>6.1711329415462968E-3</v>
          </cell>
          <cell r="I741">
            <v>5.2368947976144165E-2</v>
          </cell>
          <cell r="J741">
            <v>0.15067158893668228</v>
          </cell>
        </row>
        <row r="742">
          <cell r="B742" t="str">
            <v>DH-EBAT</v>
          </cell>
          <cell r="C742" t="str">
            <v>VAR_ncap</v>
          </cell>
          <cell r="D742" t="str">
            <v>-</v>
          </cell>
          <cell r="E742">
            <v>4.7666792010253398E-3</v>
          </cell>
          <cell r="F742">
            <v>7.1849869745299303E-6</v>
          </cell>
          <cell r="G742">
            <v>2.2854306854019999E-5</v>
          </cell>
          <cell r="H742">
            <v>8.0459572685889803E-6</v>
          </cell>
          <cell r="I742">
            <v>2.8621540437516199E-3</v>
          </cell>
          <cell r="J742">
            <v>9.5824809272025496E-2</v>
          </cell>
        </row>
        <row r="743">
          <cell r="B743" t="str">
            <v>DH-EBAT</v>
          </cell>
          <cell r="C743" t="str">
            <v>VAR_cap</v>
          </cell>
          <cell r="D743" t="str">
            <v>-</v>
          </cell>
          <cell r="E743">
            <v>4.7666792010253398E-3</v>
          </cell>
          <cell r="F743">
            <v>4.7701317157778237E-3</v>
          </cell>
          <cell r="G743">
            <v>4.7898443880513304E-3</v>
          </cell>
          <cell r="H743">
            <v>3.4947204650362424E-3</v>
          </cell>
          <cell r="I743">
            <v>8.10874975157529E-3</v>
          </cell>
          <cell r="J743">
            <v>9.8175237545926566E-2</v>
          </cell>
        </row>
        <row r="744">
          <cell r="B744" t="str">
            <v>RHEM-EBAT</v>
          </cell>
          <cell r="C744" t="str">
            <v>VAR_fout</v>
          </cell>
          <cell r="D744" t="str">
            <v>RHEM_ELC</v>
          </cell>
          <cell r="E744">
            <v>1.0751663822590849E-2</v>
          </cell>
          <cell r="F744">
            <v>1.0692669926548708E-2</v>
          </cell>
          <cell r="G744">
            <v>1.0839795390414445E-2</v>
          </cell>
          <cell r="H744">
            <v>3.7105434696923893E-3</v>
          </cell>
          <cell r="I744">
            <v>4.2920521387125245E-2</v>
          </cell>
          <cell r="J744">
            <v>4.6498518765778811E-2</v>
          </cell>
        </row>
        <row r="745">
          <cell r="B745" t="str">
            <v>RHEM-EBAT</v>
          </cell>
          <cell r="C745" t="str">
            <v>VAR_fout</v>
          </cell>
          <cell r="D745" t="str">
            <v>AUX_RHEM-EBAT_OUT</v>
          </cell>
          <cell r="E745">
            <v>1.0751663822590856E-2</v>
          </cell>
          <cell r="F745">
            <v>1.0692669926548725E-2</v>
          </cell>
          <cell r="G745">
            <v>1.0839795390414454E-2</v>
          </cell>
          <cell r="H745">
            <v>3.710543469692395E-3</v>
          </cell>
          <cell r="I745">
            <v>4.2920521387125279E-2</v>
          </cell>
          <cell r="J745">
            <v>4.649851876577886E-2</v>
          </cell>
        </row>
        <row r="746">
          <cell r="B746" t="str">
            <v>RHEM-EBAT</v>
          </cell>
          <cell r="C746" t="str">
            <v>VAR_fin</v>
          </cell>
          <cell r="D746" t="str">
            <v>RHEM_ELC</v>
          </cell>
          <cell r="E746">
            <v>1.1908584019125385E-2</v>
          </cell>
          <cell r="F746">
            <v>1.1842351441849315E-2</v>
          </cell>
          <cell r="G746">
            <v>1.199018480723057E-2</v>
          </cell>
          <cell r="H746">
            <v>4.1055702008501102E-3</v>
          </cell>
          <cell r="I746">
            <v>4.7466439224964956E-2</v>
          </cell>
          <cell r="J746">
            <v>5.1422548854274185E-2</v>
          </cell>
        </row>
        <row r="747">
          <cell r="B747" t="str">
            <v>RHEM-EBAT</v>
          </cell>
          <cell r="C747" t="str">
            <v>VAR_fin</v>
          </cell>
          <cell r="D747" t="str">
            <v>AUX_RHEM-EBAT_IN</v>
          </cell>
          <cell r="E747">
            <v>1.1908584019125385E-2</v>
          </cell>
          <cell r="F747">
            <v>1.1842351441849315E-2</v>
          </cell>
          <cell r="G747">
            <v>1.199018480723057E-2</v>
          </cell>
          <cell r="H747">
            <v>4.1055702008501102E-3</v>
          </cell>
          <cell r="I747">
            <v>4.7466439224964956E-2</v>
          </cell>
          <cell r="J747">
            <v>5.1422548854274185E-2</v>
          </cell>
        </row>
        <row r="748">
          <cell r="B748" t="str">
            <v>RHEM-EBAT</v>
          </cell>
          <cell r="C748" t="str">
            <v>VAR_ncap</v>
          </cell>
          <cell r="D748" t="str">
            <v>-</v>
          </cell>
          <cell r="E748">
            <v>4.4142182699691704E-3</v>
          </cell>
          <cell r="F748">
            <v>7.0099685390992199E-6</v>
          </cell>
          <cell r="G748">
            <v>3.4518878161376797E-5</v>
          </cell>
          <cell r="H748">
            <v>1.28829223241669E-2</v>
          </cell>
          <cell r="I748">
            <v>1.5888168499203902E-2</v>
          </cell>
          <cell r="J748">
            <v>3.00433920680554E-2</v>
          </cell>
        </row>
        <row r="749">
          <cell r="B749" t="str">
            <v>RHEM-EBAT</v>
          </cell>
          <cell r="C749" t="str">
            <v>VAR_cap</v>
          </cell>
          <cell r="D749" t="str">
            <v>-</v>
          </cell>
          <cell r="E749">
            <v>4.4166556221548973E-3</v>
          </cell>
          <cell r="F749">
            <v>4.4202525054067065E-3</v>
          </cell>
          <cell r="G749">
            <v>4.4509685147790844E-3</v>
          </cell>
          <cell r="H749">
            <v>1.6130803760920014E-2</v>
          </cell>
          <cell r="I749">
            <v>3.0280175206042356E-2</v>
          </cell>
          <cell r="J749">
            <v>4.0134171167007085E-2</v>
          </cell>
        </row>
        <row r="750">
          <cell r="B750" t="str">
            <v>HPLGEO</v>
          </cell>
          <cell r="C750" t="str">
            <v>VAR_fout</v>
          </cell>
          <cell r="D750" t="str">
            <v>LTH</v>
          </cell>
          <cell r="I750">
            <v>6.2231849539319921E-3</v>
          </cell>
          <cell r="J750">
            <v>8.176977752156183E-3</v>
          </cell>
        </row>
        <row r="751">
          <cell r="B751" t="str">
            <v>HPLGEO</v>
          </cell>
          <cell r="C751" t="str">
            <v>VAR_fin</v>
          </cell>
          <cell r="D751" t="str">
            <v>GEO</v>
          </cell>
          <cell r="I751">
            <v>7.3213940634494091E-3</v>
          </cell>
          <cell r="J751">
            <v>9.6199738260660944E-3</v>
          </cell>
        </row>
        <row r="752">
          <cell r="B752" t="str">
            <v>HPLGEO</v>
          </cell>
          <cell r="C752" t="str">
            <v>VAR_ncap</v>
          </cell>
          <cell r="D752" t="str">
            <v>-</v>
          </cell>
          <cell r="I752">
            <v>2.9065415255262E-4</v>
          </cell>
          <cell r="J752">
            <v>4.2279502490128703E-5</v>
          </cell>
        </row>
        <row r="753">
          <cell r="B753" t="str">
            <v>HPLGEO</v>
          </cell>
          <cell r="C753" t="str">
            <v>VAR_cap</v>
          </cell>
          <cell r="D753" t="str">
            <v>-</v>
          </cell>
          <cell r="I753">
            <v>2.9065415255262E-4</v>
          </cell>
          <cell r="J753">
            <v>3.3293365504274898E-4</v>
          </cell>
        </row>
        <row r="754">
          <cell r="B754" t="str">
            <v>CT_CWODBDSCCS</v>
          </cell>
          <cell r="C754" t="str">
            <v>VAR_fout</v>
          </cell>
          <cell r="D754" t="str">
            <v>CO2_O</v>
          </cell>
          <cell r="I754">
            <v>0.24431666212289513</v>
          </cell>
          <cell r="J754">
            <v>407.913124262699</v>
          </cell>
        </row>
        <row r="755">
          <cell r="B755" t="str">
            <v>CT_CWODBDSCCS</v>
          </cell>
          <cell r="C755" t="str">
            <v>VAR_fout</v>
          </cell>
          <cell r="D755" t="str">
            <v>CO2</v>
          </cell>
          <cell r="I755">
            <v>-0.24431666212289499</v>
          </cell>
          <cell r="J755">
            <v>-407.913124262699</v>
          </cell>
        </row>
        <row r="756">
          <cell r="B756" t="str">
            <v>CT_CWODBDSCCS</v>
          </cell>
          <cell r="C756" t="str">
            <v>VAR_fout</v>
          </cell>
          <cell r="D756" t="str">
            <v>BDS</v>
          </cell>
          <cell r="I756">
            <v>1.3670310386248361E-3</v>
          </cell>
          <cell r="J756">
            <v>2.2824063536405141</v>
          </cell>
        </row>
        <row r="757">
          <cell r="B757" t="str">
            <v>CT_CWODBDSCCS</v>
          </cell>
          <cell r="C757" t="str">
            <v>VAR_fout</v>
          </cell>
          <cell r="D757" t="str">
            <v>LTH</v>
          </cell>
          <cell r="I757">
            <v>5.331421050636853E-4</v>
          </cell>
          <cell r="J757">
            <v>0.89013847791980005</v>
          </cell>
        </row>
        <row r="758">
          <cell r="B758" t="str">
            <v>CT_CWODBDSCCS</v>
          </cell>
          <cell r="C758" t="str">
            <v>VAR_fin</v>
          </cell>
          <cell r="D758" t="str">
            <v>CWOD</v>
          </cell>
          <cell r="I758">
            <v>3.8953549445614665E-3</v>
          </cell>
          <cell r="J758">
            <v>6.5037169046986474</v>
          </cell>
        </row>
        <row r="759">
          <cell r="B759" t="str">
            <v>CT_CWODBDSCCS</v>
          </cell>
          <cell r="C759" t="str">
            <v>VAR_fin</v>
          </cell>
          <cell r="D759" t="str">
            <v>CELC</v>
          </cell>
          <cell r="I759">
            <v>1.7644464905679132E-4</v>
          </cell>
          <cell r="J759">
            <v>0.29459344864488679</v>
          </cell>
        </row>
        <row r="760">
          <cell r="B760" t="str">
            <v>CT_CWODBDSCCS</v>
          </cell>
          <cell r="C760" t="str">
            <v>VAR_ncap</v>
          </cell>
          <cell r="D760" t="str">
            <v>-</v>
          </cell>
          <cell r="I760">
            <v>2.35135118882882E-4</v>
          </cell>
          <cell r="J760">
            <v>0.118143987823403</v>
          </cell>
        </row>
        <row r="761">
          <cell r="B761" t="str">
            <v>CT_CWODBDSCCS</v>
          </cell>
          <cell r="C761" t="str">
            <v>VAR_cap</v>
          </cell>
          <cell r="D761" t="str">
            <v>-</v>
          </cell>
          <cell r="I761">
            <v>2.35135118882882E-4</v>
          </cell>
          <cell r="J761">
            <v>0.118379122942286</v>
          </cell>
        </row>
        <row r="762">
          <cell r="B762" t="str">
            <v>EHYD-PUM15</v>
          </cell>
          <cell r="C762" t="str">
            <v>VAR_fout</v>
          </cell>
          <cell r="D762" t="str">
            <v>ELC</v>
          </cell>
          <cell r="F762">
            <v>1.9893340078721917E-2</v>
          </cell>
          <cell r="G762">
            <v>2.9757096610027574E-2</v>
          </cell>
          <cell r="H762">
            <v>2.9888233570246132E-2</v>
          </cell>
          <cell r="I762">
            <v>2.6270937536400463E-2</v>
          </cell>
          <cell r="J762">
            <v>2.5897146841017866E-2</v>
          </cell>
        </row>
        <row r="763">
          <cell r="B763" t="str">
            <v>EHYD-PUM15</v>
          </cell>
          <cell r="C763" t="str">
            <v>VAR_fout</v>
          </cell>
          <cell r="D763" t="str">
            <v>AUX_PUMP_OUT</v>
          </cell>
          <cell r="F763">
            <v>1.9893340078721917E-2</v>
          </cell>
          <cell r="G763">
            <v>2.9757096610027577E-2</v>
          </cell>
          <cell r="H763">
            <v>2.9888233570246132E-2</v>
          </cell>
          <cell r="I763">
            <v>2.6270937536400463E-2</v>
          </cell>
          <cell r="J763">
            <v>2.5897146841017866E-2</v>
          </cell>
        </row>
        <row r="764">
          <cell r="B764" t="str">
            <v>EHYD-PUM15</v>
          </cell>
          <cell r="C764" t="str">
            <v>VAR_fin</v>
          </cell>
          <cell r="D764" t="str">
            <v>AUX_PUMP_IN</v>
          </cell>
          <cell r="F764">
            <v>2.4875070712061586E-2</v>
          </cell>
          <cell r="G764">
            <v>3.7202109584697461E-2</v>
          </cell>
          <cell r="H764">
            <v>3.735608502554616E-2</v>
          </cell>
          <cell r="I764">
            <v>3.2832267427724895E-2</v>
          </cell>
          <cell r="J764">
            <v>3.2365009399387031E-2</v>
          </cell>
        </row>
        <row r="765">
          <cell r="B765" t="str">
            <v>EHYD-PUM15</v>
          </cell>
          <cell r="C765" t="str">
            <v>VAR_fin</v>
          </cell>
          <cell r="D765" t="str">
            <v>ELC</v>
          </cell>
          <cell r="F765">
            <v>2.4875070712061586E-2</v>
          </cell>
          <cell r="G765">
            <v>3.7202109584697461E-2</v>
          </cell>
          <cell r="H765">
            <v>3.735608502554616E-2</v>
          </cell>
          <cell r="I765">
            <v>3.2832267427724895E-2</v>
          </cell>
          <cell r="J765">
            <v>3.2365009399387031E-2</v>
          </cell>
        </row>
        <row r="766">
          <cell r="B766" t="str">
            <v>EHYD-PUM15</v>
          </cell>
          <cell r="C766" t="str">
            <v>VAR_ncap</v>
          </cell>
          <cell r="D766" t="str">
            <v>-</v>
          </cell>
          <cell r="F766">
            <v>2.6449656271610401E-3</v>
          </cell>
          <cell r="G766">
            <v>1.8913351835396401E-7</v>
          </cell>
          <cell r="H766">
            <v>2.3310166714259E-7</v>
          </cell>
          <cell r="I766">
            <v>5.6305561366758498E-7</v>
          </cell>
          <cell r="J766">
            <v>7.6251973080696395E-7</v>
          </cell>
        </row>
        <row r="767">
          <cell r="B767" t="str">
            <v>EHYD-PUM15</v>
          </cell>
          <cell r="C767" t="str">
            <v>VAR_cap</v>
          </cell>
          <cell r="D767" t="str">
            <v>-</v>
          </cell>
          <cell r="F767">
            <v>2.6449656271610401E-3</v>
          </cell>
          <cell r="G767">
            <v>2.64515476067939E-3</v>
          </cell>
          <cell r="H767">
            <v>2.64538786234654E-3</v>
          </cell>
          <cell r="I767">
            <v>2.6463834555903801E-3</v>
          </cell>
          <cell r="J767">
            <v>2.6471459753211802E-3</v>
          </cell>
        </row>
        <row r="768">
          <cell r="B768" t="str">
            <v>D-EWST</v>
          </cell>
          <cell r="C768" t="str">
            <v>VAR_fout</v>
          </cell>
          <cell r="D768" t="str">
            <v>CO2</v>
          </cell>
          <cell r="E768">
            <v>2236.6419731831802</v>
          </cell>
          <cell r="F768">
            <v>2235.4033046182599</v>
          </cell>
          <cell r="G768">
            <v>2268.7820748859099</v>
          </cell>
          <cell r="H768">
            <v>2265.8213292877399</v>
          </cell>
          <cell r="I768">
            <v>2266.0988975351102</v>
          </cell>
          <cell r="J768">
            <v>2317.3905895653102</v>
          </cell>
        </row>
        <row r="769">
          <cell r="B769" t="str">
            <v>D-EWST</v>
          </cell>
          <cell r="C769" t="str">
            <v>VAR_fout</v>
          </cell>
          <cell r="D769" t="str">
            <v>EWST</v>
          </cell>
          <cell r="E769">
            <v>48.203490801361639</v>
          </cell>
          <cell r="F769">
            <v>48.176818329471615</v>
          </cell>
          <cell r="G769">
            <v>48.896231487688979</v>
          </cell>
          <cell r="H769">
            <v>48.832357219755046</v>
          </cell>
          <cell r="I769">
            <v>48.838338308946369</v>
          </cell>
          <cell r="J769">
            <v>49.943762706149016</v>
          </cell>
        </row>
        <row r="770">
          <cell r="B770" t="str">
            <v>D-EWST</v>
          </cell>
          <cell r="C770" t="str">
            <v>VAR_fin</v>
          </cell>
          <cell r="D770" t="str">
            <v>WSTNREN</v>
          </cell>
          <cell r="E770">
            <v>24.101745400680819</v>
          </cell>
          <cell r="F770">
            <v>24.088397679076067</v>
          </cell>
          <cell r="G770">
            <v>24.448082703512025</v>
          </cell>
          <cell r="H770">
            <v>24.416178117324794</v>
          </cell>
          <cell r="I770">
            <v>24.41916915447317</v>
          </cell>
          <cell r="J770">
            <v>24.971881353074508</v>
          </cell>
        </row>
        <row r="771">
          <cell r="B771" t="str">
            <v>D-EWST</v>
          </cell>
          <cell r="C771" t="str">
            <v>VAR_fin</v>
          </cell>
          <cell r="D771" t="str">
            <v>WSTREN</v>
          </cell>
          <cell r="E771">
            <v>24.101745400680819</v>
          </cell>
          <cell r="F771">
            <v>24.088397679076067</v>
          </cell>
          <cell r="G771">
            <v>24.448082703512025</v>
          </cell>
          <cell r="H771">
            <v>24.416178117324794</v>
          </cell>
          <cell r="I771">
            <v>24.41916915447317</v>
          </cell>
          <cell r="J771">
            <v>24.971881353074508</v>
          </cell>
        </row>
        <row r="772">
          <cell r="B772"/>
          <cell r="C772"/>
          <cell r="D772"/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881.76932011995791</v>
          </cell>
          <cell r="E4">
            <v>563.07725461526582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3.2826792968010041</v>
          </cell>
          <cell r="E5">
            <v>2.7035128549876837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769.46636236774452</v>
          </cell>
          <cell r="E6">
            <v>76.037869228621886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109.02027845541247</v>
          </cell>
          <cell r="E7">
            <v>484.33587253165643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97.376262390048012</v>
          </cell>
          <cell r="E8">
            <v>1140.9256714503194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1.6339378168720637</v>
          </cell>
          <cell r="E9">
            <v>376.99571523346344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108.61380940613942</v>
          </cell>
          <cell r="E10">
            <v>1088.6143523358719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14.311502907803435</v>
          </cell>
          <cell r="E11">
            <v>714.47052455254516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0.93737907938219578</v>
          </cell>
          <cell r="E12">
            <v>3.3610267268496909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5.3133466005822735E-2</v>
          </cell>
          <cell r="E13">
            <v>0.53452301395877244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654.51098885118745</v>
          </cell>
          <cell r="E14">
            <v>1012.1993217149779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3.5132968940658573</v>
          </cell>
          <cell r="E15">
            <v>217.73050561714547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0.42725041380157319</v>
          </cell>
          <cell r="E16">
            <v>1031.9084892866658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970.56778881904017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0.34321303222940419</v>
          </cell>
          <cell r="E18">
            <v>2.1829338279393418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0.72219072204782631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7.8410582160137552E-3</v>
          </cell>
          <cell r="E20">
            <v>7.1002966091928193E-3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1.3381608844521779E-2</v>
          </cell>
          <cell r="E21">
            <v>0.38893311805301617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0.24431666212289513</v>
          </cell>
          <cell r="E22">
            <v>407.913124262699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881.76932011995791</v>
          </cell>
          <cell r="E23">
            <v>6968.4018093715513</v>
          </cell>
        </row>
        <row r="24">
          <cell r="A24" t="str">
            <v>CO2_X</v>
          </cell>
          <cell r="B24" t="str">
            <v>VAR_fout</v>
          </cell>
          <cell r="C24" t="str">
            <v>D-CO2_O</v>
          </cell>
          <cell r="E24">
            <v>6405.3245547562983</v>
          </cell>
        </row>
        <row r="25">
          <cell r="A25" t="str">
            <v>CO2_X</v>
          </cell>
          <cell r="B25" t="str">
            <v>VAR_fin</v>
          </cell>
          <cell r="C25" t="str">
            <v>CO2EXP</v>
          </cell>
          <cell r="E25">
            <v>6405.3245547562983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0.56179096919268423</v>
          </cell>
          <cell r="F4">
            <v>0.14682143557583408</v>
          </cell>
          <cell r="G4">
            <v>1.4142755437373509E-3</v>
          </cell>
          <cell r="H4">
            <v>1.0350018875997004E-3</v>
          </cell>
          <cell r="I4">
            <v>3.9269641389156694E-2</v>
          </cell>
        </row>
        <row r="5">
          <cell r="A5" t="str">
            <v>EXPELC_DE</v>
          </cell>
          <cell r="C5" t="str">
            <v>ELC_E-DE</v>
          </cell>
          <cell r="D5">
            <v>26.492987657388174</v>
          </cell>
          <cell r="E5">
            <v>5.1485964112395772E-3</v>
          </cell>
          <cell r="F5">
            <v>5.6261950106243838E-3</v>
          </cell>
          <cell r="G5">
            <v>3.024632498857168E-3</v>
          </cell>
          <cell r="H5">
            <v>8.5108783313160973E-3</v>
          </cell>
          <cell r="I5">
            <v>3.099915824837928E-3</v>
          </cell>
        </row>
        <row r="6">
          <cell r="A6" t="str">
            <v>IMPDSL</v>
          </cell>
          <cell r="C6" t="str">
            <v>DSL</v>
          </cell>
          <cell r="D6">
            <v>121.01045938029928</v>
          </cell>
          <cell r="E6">
            <v>110.83932931038892</v>
          </cell>
          <cell r="F6">
            <v>87.142714359806604</v>
          </cell>
          <cell r="G6">
            <v>41.646626292315752</v>
          </cell>
          <cell r="H6">
            <v>40.886916041454874</v>
          </cell>
        </row>
        <row r="7">
          <cell r="A7" t="str">
            <v>IMPELC_AT</v>
          </cell>
          <cell r="C7" t="str">
            <v>ELC_I-AT</v>
          </cell>
          <cell r="D7">
            <v>15.013812225847094</v>
          </cell>
          <cell r="E7">
            <v>7.2101894946406198</v>
          </cell>
          <cell r="F7">
            <v>3.8810498598673329</v>
          </cell>
          <cell r="G7">
            <v>1.4999190356361496</v>
          </cell>
          <cell r="H7">
            <v>4.1995043906015121</v>
          </cell>
          <cell r="I7">
            <v>3.9373866327747855</v>
          </cell>
        </row>
        <row r="8">
          <cell r="A8" t="str">
            <v>IMPELC_AT</v>
          </cell>
          <cell r="C8" t="str">
            <v>ELCS</v>
          </cell>
          <cell r="D8">
            <v>15.013812225847094</v>
          </cell>
          <cell r="E8">
            <v>7.2101894946406198</v>
          </cell>
          <cell r="F8">
            <v>3.8810498598673329</v>
          </cell>
          <cell r="G8">
            <v>1.4999190356361496</v>
          </cell>
          <cell r="H8">
            <v>4.1995043906015121</v>
          </cell>
          <cell r="I8">
            <v>3.9373866327747855</v>
          </cell>
        </row>
        <row r="9">
          <cell r="A9" t="str">
            <v>IMPELC_FR</v>
          </cell>
          <cell r="C9" t="str">
            <v>ELC_I-FR</v>
          </cell>
          <cell r="D9">
            <v>28.948626186349951</v>
          </cell>
          <cell r="E9">
            <v>24.184550015692537</v>
          </cell>
          <cell r="F9">
            <v>28.638715036503271</v>
          </cell>
          <cell r="G9">
            <v>14.464087166058361</v>
          </cell>
          <cell r="H9">
            <v>10.862150140282486</v>
          </cell>
          <cell r="I9">
            <v>7.9720164005611052</v>
          </cell>
        </row>
        <row r="10">
          <cell r="A10" t="str">
            <v>IMPELC_FR</v>
          </cell>
          <cell r="C10" t="str">
            <v>ELCS</v>
          </cell>
          <cell r="D10">
            <v>28.948626186349951</v>
          </cell>
          <cell r="E10">
            <v>24.184550015692537</v>
          </cell>
          <cell r="F10">
            <v>28.638715036503271</v>
          </cell>
          <cell r="G10">
            <v>14.464087166058361</v>
          </cell>
          <cell r="H10">
            <v>10.862150140282486</v>
          </cell>
          <cell r="I10">
            <v>7.9720164005611052</v>
          </cell>
        </row>
        <row r="11">
          <cell r="A11" t="str">
            <v>RNWHYDR1</v>
          </cell>
          <cell r="C11" t="str">
            <v>HYDR</v>
          </cell>
          <cell r="D11">
            <v>66.632414534993401</v>
          </cell>
          <cell r="E11">
            <v>55.763997394256499</v>
          </cell>
          <cell r="F11">
            <v>65.64174178742968</v>
          </cell>
          <cell r="G11">
            <v>66.967551450462921</v>
          </cell>
          <cell r="H11">
            <v>64.786803230896581</v>
          </cell>
          <cell r="I11">
            <v>65.594080260553525</v>
          </cell>
        </row>
        <row r="12">
          <cell r="A12" t="str">
            <v>EXPELC_IT</v>
          </cell>
          <cell r="C12" t="str">
            <v>ELC_E-IT</v>
          </cell>
          <cell r="D12">
            <v>71.694108126754529</v>
          </cell>
          <cell r="E12">
            <v>35.774133337415229</v>
          </cell>
          <cell r="F12">
            <v>53.344851278387836</v>
          </cell>
          <cell r="G12">
            <v>24.042759770341849</v>
          </cell>
          <cell r="H12">
            <v>13.676603104925908</v>
          </cell>
          <cell r="I12">
            <v>14.13953905191566</v>
          </cell>
        </row>
        <row r="13">
          <cell r="A13" t="str">
            <v>IMPLNG</v>
          </cell>
          <cell r="C13" t="str">
            <v>LBIO</v>
          </cell>
          <cell r="G13">
            <v>1.0329239755253329E-5</v>
          </cell>
          <cell r="H13">
            <v>2.6896781114395103E-2</v>
          </cell>
          <cell r="I13">
            <v>2.1302913899025286</v>
          </cell>
        </row>
        <row r="14">
          <cell r="A14" t="str">
            <v>IMPLNG</v>
          </cell>
          <cell r="C14" t="str">
            <v>LNGA</v>
          </cell>
          <cell r="G14">
            <v>1.7869191430800496E-2</v>
          </cell>
          <cell r="H14">
            <v>2.4944581061925073E-2</v>
          </cell>
          <cell r="I14">
            <v>5.4024096150746374E-3</v>
          </cell>
        </row>
        <row r="15">
          <cell r="A15" t="str">
            <v>IMPURN1</v>
          </cell>
          <cell r="C15" t="str">
            <v>URN</v>
          </cell>
          <cell r="D15">
            <v>250.9485042941028</v>
          </cell>
          <cell r="E15">
            <v>253.2845331578653</v>
          </cell>
          <cell r="F15">
            <v>215.81449200800139</v>
          </cell>
          <cell r="G15">
            <v>209.58451008893789</v>
          </cell>
          <cell r="H15">
            <v>98.961729178435704</v>
          </cell>
          <cell r="I15">
            <v>3.70922571507914E-4</v>
          </cell>
        </row>
        <row r="16">
          <cell r="A16" t="str">
            <v>EXPELC_AT</v>
          </cell>
          <cell r="C16" t="str">
            <v>ELC_E-AT</v>
          </cell>
          <cell r="D16">
            <v>6.2295684795970354</v>
          </cell>
          <cell r="E16">
            <v>8.635432582198975E-3</v>
          </cell>
          <cell r="F16">
            <v>9.775289351522479E-3</v>
          </cell>
          <cell r="G16">
            <v>1.6691821905260079E-3</v>
          </cell>
          <cell r="H16">
            <v>1.6260382827409717E-3</v>
          </cell>
          <cell r="I16">
            <v>1.1350076394239207E-3</v>
          </cell>
        </row>
        <row r="17">
          <cell r="A17" t="str">
            <v>EXPELC_FR</v>
          </cell>
          <cell r="C17" t="str">
            <v>ELC_E-FR</v>
          </cell>
          <cell r="D17">
            <v>12.753368332033777</v>
          </cell>
          <cell r="E17">
            <v>6.6386484374797126E-3</v>
          </cell>
          <cell r="F17">
            <v>6.248229575515918E-3</v>
          </cell>
          <cell r="G17">
            <v>2.5333954873481856E-3</v>
          </cell>
          <cell r="H17">
            <v>4.8042322979266984E-3</v>
          </cell>
          <cell r="I17">
            <v>5.6582825468023228E-3</v>
          </cell>
        </row>
        <row r="18">
          <cell r="A18" t="str">
            <v>RNWWND1</v>
          </cell>
          <cell r="C18" t="str">
            <v>WND</v>
          </cell>
          <cell r="D18">
            <v>0.49779430041586648</v>
          </cell>
          <cell r="E18">
            <v>0.51865160611624483</v>
          </cell>
          <cell r="F18">
            <v>1.0267160688391022</v>
          </cell>
          <cell r="G18">
            <v>2.0228087047595942</v>
          </cell>
          <cell r="H18">
            <v>2.5199348448790078</v>
          </cell>
          <cell r="I18">
            <v>2.5199849300006538</v>
          </cell>
        </row>
        <row r="19">
          <cell r="A19" t="str">
            <v>RNWWND2</v>
          </cell>
          <cell r="C19" t="str">
            <v>WND</v>
          </cell>
          <cell r="D19">
            <v>9.3755845698936073E-3</v>
          </cell>
          <cell r="E19">
            <v>9.4995667130664506E-3</v>
          </cell>
          <cell r="F19">
            <v>9.6617811193105575E-3</v>
          </cell>
          <cell r="G19">
            <v>9.8437008401745223E-3</v>
          </cell>
          <cell r="H19">
            <v>2.4286242997450489</v>
          </cell>
          <cell r="I19">
            <v>3.5426554101766867</v>
          </cell>
        </row>
        <row r="20">
          <cell r="A20" t="str">
            <v>RNWMNR1</v>
          </cell>
          <cell r="C20" t="str">
            <v>MNR</v>
          </cell>
          <cell r="D20">
            <v>3.7981123036001563</v>
          </cell>
          <cell r="E20">
            <v>12.540349061436519</v>
          </cell>
          <cell r="F20">
            <v>12.54040171323124</v>
          </cell>
          <cell r="G20">
            <v>12.540444094000744</v>
          </cell>
          <cell r="H20">
            <v>12.540366934189363</v>
          </cell>
          <cell r="I20">
            <v>12.540420325792804</v>
          </cell>
        </row>
        <row r="21">
          <cell r="A21" t="str">
            <v>RNWWND3</v>
          </cell>
          <cell r="C21" t="str">
            <v>WND</v>
          </cell>
          <cell r="D21">
            <v>8.5699323561510606E-3</v>
          </cell>
          <cell r="E21">
            <v>8.6796854248509508E-3</v>
          </cell>
          <cell r="F21">
            <v>8.8341153112925994E-3</v>
          </cell>
          <cell r="G21">
            <v>8.9893441867629261E-3</v>
          </cell>
          <cell r="H21">
            <v>6.0046546926147623E-2</v>
          </cell>
          <cell r="I21">
            <v>4.9130386634962414E-2</v>
          </cell>
        </row>
        <row r="22">
          <cell r="A22" t="str">
            <v>RNWMNR2</v>
          </cell>
          <cell r="C22" t="str">
            <v>MNR</v>
          </cell>
          <cell r="H22">
            <v>2.0871905753171558</v>
          </cell>
          <cell r="I22">
            <v>6.2702022561620545</v>
          </cell>
        </row>
        <row r="23">
          <cell r="A23" t="str">
            <v>RNWWND4</v>
          </cell>
          <cell r="C23" t="str">
            <v>WND</v>
          </cell>
          <cell r="D23">
            <v>4.4239390644003522E-3</v>
          </cell>
          <cell r="E23">
            <v>4.4509795853144209E-3</v>
          </cell>
          <cell r="F23">
            <v>4.5456195142777453E-3</v>
          </cell>
          <cell r="G23">
            <v>4.6141288637464774E-3</v>
          </cell>
          <cell r="H23">
            <v>6.5147951356038219E-3</v>
          </cell>
          <cell r="I23">
            <v>4.5328234765117858E-3</v>
          </cell>
        </row>
        <row r="24">
          <cell r="A24" t="str">
            <v>RNWMNR3</v>
          </cell>
          <cell r="C24" t="str">
            <v>MNR</v>
          </cell>
          <cell r="H24">
            <v>4.7507769509314297E-2</v>
          </cell>
          <cell r="I24">
            <v>8.1893422803902407</v>
          </cell>
        </row>
        <row r="25">
          <cell r="A25" t="str">
            <v>IMPLFO1</v>
          </cell>
          <cell r="C25" t="str">
            <v>LFO</v>
          </cell>
          <cell r="D25">
            <v>101.95239433939248</v>
          </cell>
          <cell r="E25">
            <v>89.700148831159126</v>
          </cell>
          <cell r="F25">
            <v>81.188661816851578</v>
          </cell>
          <cell r="G25">
            <v>38.710766206617549</v>
          </cell>
          <cell r="H25">
            <v>9.1960974315439863</v>
          </cell>
        </row>
        <row r="26">
          <cell r="A26" t="str">
            <v>RNWWND5</v>
          </cell>
          <cell r="C26" t="str">
            <v>WND</v>
          </cell>
          <cell r="D26">
            <v>3.9932624690066669E-3</v>
          </cell>
          <cell r="E26">
            <v>4.0151170972253852E-3</v>
          </cell>
          <cell r="F26">
            <v>4.1005453250680035E-3</v>
          </cell>
          <cell r="G26">
            <v>4.1616781051300082E-3</v>
          </cell>
          <cell r="H26">
            <v>5.4987086133833742E-3</v>
          </cell>
          <cell r="I26">
            <v>3.7754979359788427E-3</v>
          </cell>
        </row>
        <row r="27">
          <cell r="A27" t="str">
            <v>IMPBNGA</v>
          </cell>
          <cell r="C27" t="str">
            <v>BIO</v>
          </cell>
          <cell r="E27">
            <v>0.51632278668465426</v>
          </cell>
          <cell r="F27">
            <v>1.1660336588413265</v>
          </cell>
          <cell r="G27">
            <v>6.0749424598435788E-6</v>
          </cell>
          <cell r="H27">
            <v>4.8776960445873858E-4</v>
          </cell>
          <cell r="I27">
            <v>3.0879054037041088E-4</v>
          </cell>
        </row>
        <row r="28">
          <cell r="A28" t="str">
            <v>RNWGEO1</v>
          </cell>
          <cell r="C28" t="str">
            <v>GEO</v>
          </cell>
          <cell r="H28">
            <v>1.5443766932593059E-3</v>
          </cell>
          <cell r="I28">
            <v>2.0563462626412552E-3</v>
          </cell>
        </row>
        <row r="29">
          <cell r="A29" t="str">
            <v>RNWGEO2</v>
          </cell>
          <cell r="C29" t="str">
            <v>GEO</v>
          </cell>
          <cell r="H29">
            <v>1.518622156524222E-3</v>
          </cell>
          <cell r="I29">
            <v>2.006309583034608E-3</v>
          </cell>
        </row>
        <row r="30">
          <cell r="A30" t="str">
            <v>RNWGEO3</v>
          </cell>
          <cell r="C30" t="str">
            <v>GEO</v>
          </cell>
          <cell r="H30">
            <v>1.469789476854038E-3</v>
          </cell>
          <cell r="I30">
            <v>1.9155055205753346E-3</v>
          </cell>
        </row>
        <row r="31">
          <cell r="A31" t="str">
            <v>RNWGEO4</v>
          </cell>
          <cell r="C31" t="str">
            <v>GEO</v>
          </cell>
          <cell r="H31">
            <v>1.4470045503651625E-3</v>
          </cell>
          <cell r="I31">
            <v>1.8732510231285824E-3</v>
          </cell>
        </row>
        <row r="32">
          <cell r="A32" t="str">
            <v>RNWGEO5</v>
          </cell>
          <cell r="C32" t="str">
            <v>GEO</v>
          </cell>
          <cell r="H32">
            <v>1.4250256812528618E-3</v>
          </cell>
          <cell r="I32">
            <v>1.8326778527658464E-3</v>
          </cell>
        </row>
        <row r="33">
          <cell r="A33" t="str">
            <v>IMPGSL</v>
          </cell>
          <cell r="C33" t="str">
            <v>GSL</v>
          </cell>
          <cell r="D33">
            <v>78.627461771816002</v>
          </cell>
          <cell r="E33">
            <v>79.396466642538186</v>
          </cell>
          <cell r="F33">
            <v>72.275961905692427</v>
          </cell>
          <cell r="G33">
            <v>25.066860689665642</v>
          </cell>
          <cell r="H33">
            <v>0.59114213212551237</v>
          </cell>
        </row>
        <row r="34">
          <cell r="A34" t="str">
            <v>RNWWOD1</v>
          </cell>
          <cell r="C34" t="str">
            <v>WOD</v>
          </cell>
          <cell r="D34">
            <v>11.111881227614139</v>
          </cell>
          <cell r="E34">
            <v>11.952874276720271</v>
          </cell>
          <cell r="F34">
            <v>13.214382760150352</v>
          </cell>
          <cell r="G34">
            <v>15.316901786531492</v>
          </cell>
          <cell r="H34">
            <v>16.266382439094766</v>
          </cell>
          <cell r="I34">
            <v>16.956988228018332</v>
          </cell>
        </row>
        <row r="35">
          <cell r="A35" t="str">
            <v>RNWWOD2</v>
          </cell>
          <cell r="C35" t="str">
            <v>WOD</v>
          </cell>
          <cell r="D35">
            <v>7.5116745181742068</v>
          </cell>
          <cell r="E35">
            <v>7.5431323690134668</v>
          </cell>
          <cell r="F35">
            <v>7.5903383368509063</v>
          </cell>
          <cell r="G35">
            <v>7.669019034359664</v>
          </cell>
          <cell r="H35">
            <v>7.669013791280638</v>
          </cell>
          <cell r="I35">
            <v>7.6690194589256562</v>
          </cell>
        </row>
        <row r="36">
          <cell r="A36" t="str">
            <v>RNWWOD3</v>
          </cell>
          <cell r="C36" t="str">
            <v>WOD</v>
          </cell>
          <cell r="D36">
            <v>3.1682485622059962</v>
          </cell>
          <cell r="E36">
            <v>3.4956563243302847</v>
          </cell>
          <cell r="F36">
            <v>3.9867976622040047</v>
          </cell>
          <cell r="G36">
            <v>4.8053724335446644</v>
          </cell>
          <cell r="H36">
            <v>4.8053652441706003</v>
          </cell>
          <cell r="I36">
            <v>4.8053758274333118</v>
          </cell>
        </row>
        <row r="37">
          <cell r="A37" t="str">
            <v>RNWWOD4</v>
          </cell>
          <cell r="C37" t="str">
            <v>WOD</v>
          </cell>
          <cell r="D37">
            <v>13.656493722288442</v>
          </cell>
          <cell r="E37">
            <v>14.898987836093404</v>
          </cell>
          <cell r="F37">
            <v>16.762748934967913</v>
          </cell>
          <cell r="G37">
            <v>19.868917488349719</v>
          </cell>
          <cell r="H37">
            <v>18.958609245441579</v>
          </cell>
          <cell r="I37">
            <v>18.752889420905131</v>
          </cell>
        </row>
        <row r="38">
          <cell r="A38" t="str">
            <v>RNWWOD5</v>
          </cell>
          <cell r="C38" t="str">
            <v>WOD</v>
          </cell>
          <cell r="D38">
            <v>9.5241478113236422</v>
          </cell>
          <cell r="E38">
            <v>9.8192864386084242</v>
          </cell>
          <cell r="F38">
            <v>6.1557003075063168</v>
          </cell>
          <cell r="G38">
            <v>4.9797322316948646E-2</v>
          </cell>
          <cell r="H38">
            <v>1.0638256442402516E-2</v>
          </cell>
          <cell r="I38">
            <v>5.817627802988991E-3</v>
          </cell>
        </row>
        <row r="39">
          <cell r="A39" t="str">
            <v>RNNWWST1</v>
          </cell>
          <cell r="C39" t="str">
            <v>WSTNREN</v>
          </cell>
          <cell r="D39">
            <v>35.611777857532019</v>
          </cell>
          <cell r="E39">
            <v>35.882389695216531</v>
          </cell>
          <cell r="F39">
            <v>35.489492387607719</v>
          </cell>
          <cell r="G39">
            <v>35.687246602228306</v>
          </cell>
          <cell r="H39">
            <v>35.15945211770142</v>
          </cell>
          <cell r="I39">
            <v>35.603179181073742</v>
          </cell>
        </row>
        <row r="40">
          <cell r="A40" t="str">
            <v>RNWSOL1</v>
          </cell>
          <cell r="C40" t="str">
            <v>SOL</v>
          </cell>
          <cell r="D40">
            <v>12.556555837235985</v>
          </cell>
          <cell r="E40">
            <v>16.523628862519221</v>
          </cell>
          <cell r="F40">
            <v>31.879610368401561</v>
          </cell>
          <cell r="G40">
            <v>36.296299834947206</v>
          </cell>
          <cell r="H40">
            <v>65.886306603111507</v>
          </cell>
          <cell r="I40">
            <v>96.433193963493878</v>
          </cell>
        </row>
        <row r="41">
          <cell r="A41" t="str">
            <v>IMPHFO1</v>
          </cell>
          <cell r="C41" t="str">
            <v>HFO</v>
          </cell>
          <cell r="D41">
            <v>2.7763810342632405</v>
          </cell>
          <cell r="E41">
            <v>1.2873099774094718</v>
          </cell>
          <cell r="F41">
            <v>2.1630920397363834E-2</v>
          </cell>
          <cell r="G41">
            <v>7.4373463029334637E-6</v>
          </cell>
          <cell r="H41">
            <v>6.2000777070102351E-4</v>
          </cell>
        </row>
        <row r="42">
          <cell r="A42" t="str">
            <v>RNWHYDD1</v>
          </cell>
          <cell r="C42" t="str">
            <v>HYDD</v>
          </cell>
          <cell r="D42">
            <v>66.745680242457198</v>
          </cell>
          <cell r="E42">
            <v>49.798772798818483</v>
          </cell>
          <cell r="F42">
            <v>68.443730401754891</v>
          </cell>
          <cell r="G42">
            <v>68.180550216121176</v>
          </cell>
          <cell r="H42">
            <v>71.199673773627197</v>
          </cell>
          <cell r="I42">
            <v>70.392364007094002</v>
          </cell>
        </row>
        <row r="43">
          <cell r="A43" t="str">
            <v>IMPKER</v>
          </cell>
          <cell r="C43" t="str">
            <v>KER</v>
          </cell>
          <cell r="D43">
            <v>1.1093853663791744</v>
          </cell>
          <cell r="E43">
            <v>1.4052148835537817</v>
          </cell>
          <cell r="F43">
            <v>1.8489591593156731</v>
          </cell>
          <cell r="G43">
            <v>2.0349412396398781</v>
          </cell>
          <cell r="H43">
            <v>1.4812416418094601</v>
          </cell>
        </row>
        <row r="44">
          <cell r="A44" t="str">
            <v>IMPBDS</v>
          </cell>
          <cell r="C44" t="str">
            <v>BDS</v>
          </cell>
          <cell r="D44">
            <v>2.4695931189728011</v>
          </cell>
          <cell r="E44">
            <v>1.7908540886756112</v>
          </cell>
          <cell r="F44">
            <v>2.7940933889653246</v>
          </cell>
          <cell r="G44">
            <v>3.0259146149651253</v>
          </cell>
          <cell r="H44">
            <v>2.8291564090137156</v>
          </cell>
          <cell r="I44">
            <v>18.725928382547615</v>
          </cell>
        </row>
        <row r="45">
          <cell r="A45" t="str">
            <v>IMPCOA1</v>
          </cell>
          <cell r="C45" t="str">
            <v>COA</v>
          </cell>
          <cell r="D45">
            <v>3.6600175861612629</v>
          </cell>
          <cell r="E45">
            <v>3.5647162176880545</v>
          </cell>
          <cell r="F45">
            <v>6.5262945765768937E-2</v>
          </cell>
          <cell r="G45">
            <v>7.8442736175054533E-6</v>
          </cell>
          <cell r="H45">
            <v>5.665934434187298E-4</v>
          </cell>
          <cell r="I45">
            <v>1.3661270687521166E-3</v>
          </cell>
        </row>
        <row r="46">
          <cell r="A46" t="str">
            <v>IMPETH</v>
          </cell>
          <cell r="C46" t="str">
            <v>ETH</v>
          </cell>
          <cell r="D46">
            <v>4.4341529344762742</v>
          </cell>
          <cell r="E46">
            <v>4.5965752227086423</v>
          </cell>
          <cell r="F46">
            <v>2.9436337869180029</v>
          </cell>
          <cell r="G46">
            <v>3.8778453374087807</v>
          </cell>
          <cell r="H46">
            <v>5.5818159194637351</v>
          </cell>
          <cell r="I46">
            <v>3.8067429278226492</v>
          </cell>
        </row>
        <row r="47">
          <cell r="A47" t="str">
            <v>IMPELC_DE</v>
          </cell>
          <cell r="C47" t="str">
            <v>ELC_I-DE</v>
          </cell>
          <cell r="D47">
            <v>46.398479926121468</v>
          </cell>
          <cell r="E47">
            <v>18.882072353633337</v>
          </cell>
          <cell r="F47">
            <v>16.485714899582153</v>
          </cell>
          <cell r="G47">
            <v>8.0840356913198317</v>
          </cell>
          <cell r="H47">
            <v>14.153722367963764</v>
          </cell>
          <cell r="I47">
            <v>8.9087600248186263</v>
          </cell>
        </row>
        <row r="48">
          <cell r="A48" t="str">
            <v>IMPELC_DE</v>
          </cell>
          <cell r="C48" t="str">
            <v>ELCS</v>
          </cell>
          <cell r="D48">
            <v>46.398479926121468</v>
          </cell>
          <cell r="E48">
            <v>18.882072353633337</v>
          </cell>
          <cell r="F48">
            <v>16.485714899582153</v>
          </cell>
          <cell r="G48">
            <v>8.0840356913198317</v>
          </cell>
          <cell r="H48">
            <v>14.153722367963764</v>
          </cell>
          <cell r="I48">
            <v>8.9087600248186263</v>
          </cell>
        </row>
        <row r="49">
          <cell r="A49" t="str">
            <v>RNWWST1</v>
          </cell>
          <cell r="C49" t="str">
            <v>WSTREN</v>
          </cell>
          <cell r="D49">
            <v>33.781121751509197</v>
          </cell>
          <cell r="E49">
            <v>33.781105576186576</v>
          </cell>
          <cell r="F49">
            <v>33.781105180372343</v>
          </cell>
          <cell r="G49">
            <v>36.316586837327826</v>
          </cell>
          <cell r="H49">
            <v>37.596394067904399</v>
          </cell>
          <cell r="I49">
            <v>41.899060157249309</v>
          </cell>
        </row>
        <row r="50">
          <cell r="A50" t="str">
            <v>IMPNGA1</v>
          </cell>
          <cell r="C50" t="str">
            <v>NGA</v>
          </cell>
          <cell r="D50">
            <v>117.87070658439573</v>
          </cell>
          <cell r="E50">
            <v>106.71999745754435</v>
          </cell>
          <cell r="F50">
            <v>99.266390913362955</v>
          </cell>
          <cell r="G50">
            <v>55.838959164653517</v>
          </cell>
          <cell r="H50">
            <v>36.130136143255235</v>
          </cell>
          <cell r="I50">
            <v>18.428925202267486</v>
          </cell>
        </row>
        <row r="51">
          <cell r="A51" t="str">
            <v>IMPELC_IT</v>
          </cell>
          <cell r="C51" t="str">
            <v>ELC_I-IT</v>
          </cell>
          <cell r="D51">
            <v>6.7991017456410621</v>
          </cell>
          <cell r="E51">
            <v>5.5589821595926894E-3</v>
          </cell>
          <cell r="F51">
            <v>4.8114830964805606E-3</v>
          </cell>
          <cell r="G51">
            <v>1.9422278314832845E-3</v>
          </cell>
          <cell r="H51">
            <v>2.7090355851865449E-3</v>
          </cell>
          <cell r="I51">
            <v>1.5882220303746132E-3</v>
          </cell>
        </row>
        <row r="52">
          <cell r="A52" t="str">
            <v>IMPELC_IT</v>
          </cell>
          <cell r="C52" t="str">
            <v>ELCS</v>
          </cell>
          <cell r="D52">
            <v>6.7991017456410621</v>
          </cell>
          <cell r="E52">
            <v>5.5589821595926894E-3</v>
          </cell>
          <cell r="F52">
            <v>4.8114830964805606E-3</v>
          </cell>
          <cell r="G52">
            <v>1.9422278314832845E-3</v>
          </cell>
          <cell r="H52">
            <v>2.7090355851865449E-3</v>
          </cell>
          <cell r="I52">
            <v>1.5882220303746132E-3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3.2682489434074817</v>
          </cell>
          <cell r="E4">
            <v>3.8320005829639525</v>
          </cell>
          <cell r="F4">
            <v>0.34204011060183631</v>
          </cell>
          <cell r="G4">
            <v>0.29938276819966475</v>
          </cell>
          <cell r="H4">
            <v>0.17768307215844215</v>
          </cell>
          <cell r="I4">
            <v>6.540994303397428E-2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3.2682489434074817</v>
          </cell>
          <cell r="E5">
            <v>3.8320005829639525</v>
          </cell>
          <cell r="F5">
            <v>0.34204011060183631</v>
          </cell>
          <cell r="G5">
            <v>0.29938276819966475</v>
          </cell>
          <cell r="H5">
            <v>0.17768307215844215</v>
          </cell>
          <cell r="I5">
            <v>6.540994303397428E-2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1.1447863622602661E-4</v>
          </cell>
          <cell r="F6">
            <v>2.2943224862812737E-4</v>
          </cell>
          <cell r="G6">
            <v>9.7095815400475769E-4</v>
          </cell>
          <cell r="H6">
            <v>1.1842796809785213E-3</v>
          </cell>
          <cell r="I6">
            <v>1.238522724766502E-3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>
            <v>3.1920188551975315E-6</v>
          </cell>
          <cell r="F7">
            <v>1.8207592943878017E-4</v>
          </cell>
          <cell r="G7">
            <v>9.545073259165115E-4</v>
          </cell>
          <cell r="H7">
            <v>1.1750017743797055E-3</v>
          </cell>
          <cell r="I7">
            <v>1.2366664316411126E-3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1.38223555454932E-4</v>
          </cell>
          <cell r="E8">
            <v>3.7434747392139602E-4</v>
          </cell>
          <cell r="F8">
            <v>6.14892509829076E-5</v>
          </cell>
          <cell r="G8">
            <v>3.18259361931388E-6</v>
          </cell>
          <cell r="H8">
            <v>1.80073278257439E-4</v>
          </cell>
          <cell r="I8">
            <v>1.9762233678683301E-4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1.38223555454932E-4</v>
          </cell>
          <cell r="E9">
            <v>5.1257102937632805E-4</v>
          </cell>
          <cell r="F9">
            <v>5.74060280359235E-4</v>
          </cell>
          <cell r="G9">
            <v>5.7724287397854898E-4</v>
          </cell>
          <cell r="H9">
            <v>5.3680415936765405E-4</v>
          </cell>
          <cell r="I9">
            <v>4.73676481691857E-4</v>
          </cell>
          <cell r="J9"/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D10"/>
          <cell r="E10">
            <v>2.1088343074204902E-2</v>
          </cell>
          <cell r="F10">
            <v>7.4528207651738603</v>
          </cell>
          <cell r="G10">
            <v>7.4639582412659298</v>
          </cell>
          <cell r="H10">
            <v>3.1283438353894999</v>
          </cell>
          <cell r="I10"/>
          <cell r="J10"/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D11"/>
          <cell r="E11">
            <v>2.5633162375362215E-4</v>
          </cell>
          <cell r="F11">
            <v>9.6015682097081903E-2</v>
          </cell>
          <cell r="G11">
            <v>9.6159167684286437E-2</v>
          </cell>
          <cell r="H11">
            <v>4.030287010157528E-2</v>
          </cell>
          <cell r="I11"/>
          <cell r="J11"/>
          <cell r="K11"/>
          <cell r="L11"/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D12"/>
          <cell r="E12">
            <v>2.8613762651567089E-4</v>
          </cell>
          <cell r="F12">
            <v>0.10112375529408207</v>
          </cell>
          <cell r="G12">
            <v>0.10127487437267198</v>
          </cell>
          <cell r="H12">
            <v>4.2446999123331094E-2</v>
          </cell>
          <cell r="I12"/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  <cell r="D13"/>
          <cell r="E13">
            <v>3.7987094851362499E-4</v>
          </cell>
          <cell r="F13">
            <v>1.8091649729878499E-2</v>
          </cell>
          <cell r="G13"/>
          <cell r="H13"/>
          <cell r="I13"/>
          <cell r="J13"/>
          <cell r="K13"/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D14"/>
          <cell r="E14">
            <v>3.7987094851362499E-4</v>
          </cell>
          <cell r="F14">
            <v>1.8440760158448886E-2</v>
          </cell>
          <cell r="G14">
            <v>1.8386105663810368E-2</v>
          </cell>
          <cell r="H14">
            <v>3.2035406877594925E-3</v>
          </cell>
          <cell r="I14"/>
          <cell r="J14"/>
          <cell r="K14"/>
          <cell r="L14"/>
          <cell r="M14"/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D15"/>
          <cell r="E15"/>
          <cell r="F15">
            <v>5.6826438741723599</v>
          </cell>
          <cell r="G15">
            <v>21.029804816330799</v>
          </cell>
          <cell r="H15">
            <v>34.521546283337898</v>
          </cell>
          <cell r="I15">
            <v>31.838926829576401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D16"/>
          <cell r="E16"/>
          <cell r="F16">
            <v>0.19790499157571531</v>
          </cell>
          <cell r="G16">
            <v>0.7583957138845</v>
          </cell>
          <cell r="H16">
            <v>1.2742416702819068</v>
          </cell>
          <cell r="I16">
            <v>1.2248956527804478</v>
          </cell>
          <cell r="J16"/>
          <cell r="K16"/>
          <cell r="L16"/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D17"/>
          <cell r="E17"/>
          <cell r="F17">
            <v>0.10075609705979373</v>
          </cell>
          <cell r="G17">
            <v>0.37286887972217636</v>
          </cell>
          <cell r="H17">
            <v>0.61208415395989146</v>
          </cell>
          <cell r="I17">
            <v>0.5645199792478085</v>
          </cell>
          <cell r="J17"/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D18"/>
          <cell r="E18"/>
          <cell r="F18">
            <v>0.19790499157571531</v>
          </cell>
          <cell r="G18">
            <v>0.7583957138845</v>
          </cell>
          <cell r="H18">
            <v>1.2742416702819068</v>
          </cell>
          <cell r="I18">
            <v>1.2248956527804478</v>
          </cell>
          <cell r="J18"/>
          <cell r="K18"/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D19"/>
          <cell r="E19">
            <v>7.3782164952085896E-6</v>
          </cell>
          <cell r="F19">
            <v>1.50591349638495E-2</v>
          </cell>
          <cell r="G19">
            <v>4.0479070504032898E-2</v>
          </cell>
          <cell r="H19">
            <v>4.1575260474716297E-2</v>
          </cell>
          <cell r="I19">
            <v>5.0408780237585597E-2</v>
          </cell>
          <cell r="J19"/>
          <cell r="K19"/>
          <cell r="L19"/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D20"/>
          <cell r="E20">
            <v>7.3782164952085896E-6</v>
          </cell>
          <cell r="F20">
            <v>1.506577507608832E-2</v>
          </cell>
          <cell r="G20">
            <v>5.5544057452553128E-2</v>
          </cell>
          <cell r="H20">
            <v>9.3227028679977939E-2</v>
          </cell>
          <cell r="I20">
            <v>8.9607361174248057E-2</v>
          </cell>
          <cell r="J20"/>
          <cell r="K20"/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0.4615290504604127</v>
          </cell>
          <cell r="E21">
            <v>0.54457801726430388</v>
          </cell>
          <cell r="F21">
            <v>0.54458126003005547</v>
          </cell>
          <cell r="G21">
            <v>0.54457942424147043</v>
          </cell>
          <cell r="H21">
            <v>0.5528601360761054</v>
          </cell>
          <cell r="I21">
            <v>0.5535288671534403</v>
          </cell>
          <cell r="J21"/>
          <cell r="K21"/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0.4615290504604127</v>
          </cell>
          <cell r="E22">
            <v>0.54457801726430388</v>
          </cell>
          <cell r="F22">
            <v>0.54458126003005547</v>
          </cell>
          <cell r="G22">
            <v>0.54457942424147043</v>
          </cell>
          <cell r="H22">
            <v>0.5528601360761054</v>
          </cell>
          <cell r="I22">
            <v>0.5535288671534403</v>
          </cell>
          <cell r="J22"/>
          <cell r="K22"/>
          <cell r="L22"/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0.62580210231920408</v>
          </cell>
          <cell r="E23">
            <v>0.73757745001937336</v>
          </cell>
          <cell r="F23">
            <v>0.73633522482937075</v>
          </cell>
          <cell r="G23">
            <v>0.73426439223568929</v>
          </cell>
          <cell r="H23">
            <v>0.74126498691768372</v>
          </cell>
          <cell r="I23">
            <v>0.73803848953792095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D24"/>
          <cell r="E24">
            <v>8.5580601780654002E-3</v>
          </cell>
          <cell r="F24">
            <v>3.7499162251138199E-4</v>
          </cell>
          <cell r="G24">
            <v>1.1819311489603E-4</v>
          </cell>
          <cell r="H24">
            <v>1.60878013615923E-2</v>
          </cell>
          <cell r="I24">
            <v>1.65096344950953E-2</v>
          </cell>
          <cell r="J24"/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E25">
            <v>3.8406227266694237E-2</v>
          </cell>
          <cell r="F25">
            <v>3.8682034245344013E-2</v>
          </cell>
          <cell r="G25">
            <v>3.8631967844712803E-2</v>
          </cell>
          <cell r="H25">
            <v>3.8965501554672974E-2</v>
          </cell>
          <cell r="I25">
            <v>3.7502681096782016E-2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D26"/>
          <cell r="E26"/>
          <cell r="F26"/>
          <cell r="G26">
            <v>6.0611510257836795E-4</v>
          </cell>
          <cell r="H26">
            <v>5.502753322810432E-3</v>
          </cell>
          <cell r="I26">
            <v>2.5039492582243457E-3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D27"/>
          <cell r="E27"/>
          <cell r="F27"/>
          <cell r="G27">
            <v>6.0672253422183969E-4</v>
          </cell>
          <cell r="H27">
            <v>5.5199617120922874E-3</v>
          </cell>
          <cell r="I27">
            <v>2.5078666351792331E-3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D28"/>
          <cell r="E28"/>
          <cell r="F28"/>
          <cell r="G28">
            <v>1.1909265093715446E-3</v>
          </cell>
          <cell r="H28">
            <v>1.099020913028648E-2</v>
          </cell>
          <cell r="I28">
            <v>4.99711451239882E-3</v>
          </cell>
          <cell r="J28"/>
          <cell r="K28"/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0.52048620652056787</v>
          </cell>
          <cell r="E29">
            <v>0.59724430955280661</v>
          </cell>
          <cell r="F29">
            <v>1.0317165918054367</v>
          </cell>
          <cell r="G29">
            <v>0.9098706196579166</v>
          </cell>
          <cell r="H29">
            <v>0.62495917184647143</v>
          </cell>
          <cell r="I29">
            <v>0.33271491634637412</v>
          </cell>
          <cell r="J29"/>
          <cell r="K29"/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1.040972413041136</v>
          </cell>
          <cell r="E30">
            <v>1.1944886191056134</v>
          </cell>
          <cell r="F30">
            <v>2.3824943905798719</v>
          </cell>
          <cell r="G30">
            <v>2.0417404576736762</v>
          </cell>
          <cell r="H30">
            <v>1.3373867329932563</v>
          </cell>
          <cell r="I30">
            <v>0.6667755995869753</v>
          </cell>
          <cell r="J30"/>
          <cell r="K30"/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D31"/>
          <cell r="E31">
            <v>5.7716372621369099E-3</v>
          </cell>
          <cell r="F31">
            <v>2.74645541919913E-2</v>
          </cell>
          <cell r="G31">
            <v>6.1003994872232504E-6</v>
          </cell>
          <cell r="H31">
            <v>2.5315844461555801E-2</v>
          </cell>
          <cell r="I31">
            <v>8.1098951821291997E-4</v>
          </cell>
          <cell r="J31"/>
          <cell r="K31"/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E32">
            <v>4.1092065870891391E-2</v>
          </cell>
          <cell r="F32">
            <v>6.855458630906644E-2</v>
          </cell>
          <cell r="G32">
            <v>6.8539669557196023E-2</v>
          </cell>
          <cell r="H32">
            <v>4.3624225473628618E-2</v>
          </cell>
          <cell r="I32">
            <v>2.4867788357765458E-2</v>
          </cell>
          <cell r="J32"/>
          <cell r="K32"/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4.3871676637008701</v>
          </cell>
          <cell r="E33">
            <v>5.0342691797660164</v>
          </cell>
          <cell r="F33">
            <v>5.1176827985609741</v>
          </cell>
          <cell r="G33">
            <v>3.9356658060791232</v>
          </cell>
          <cell r="H33">
            <v>2.1248555583128672</v>
          </cell>
          <cell r="I33">
            <v>0.94136745685977119</v>
          </cell>
          <cell r="J33"/>
          <cell r="K33"/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6.0932884218067676</v>
          </cell>
          <cell r="E34">
            <v>6.9920405274527937</v>
          </cell>
          <cell r="F34">
            <v>7.1858217072526802</v>
          </cell>
          <cell r="G34">
            <v>5.4463535651200532</v>
          </cell>
          <cell r="H34">
            <v>2.8994870739819483</v>
          </cell>
          <cell r="I34">
            <v>1.2375634648441534</v>
          </cell>
          <cell r="J34"/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D35"/>
          <cell r="E35">
            <v>5.26665634537671E-2</v>
          </cell>
          <cell r="F35">
            <v>6.5043278458949902E-3</v>
          </cell>
          <cell r="G35">
            <v>2.8665510888598801E-6</v>
          </cell>
          <cell r="H35">
            <v>5.5703684755719997E-2</v>
          </cell>
          <cell r="I35">
            <v>2.6285880613073098E-6</v>
          </cell>
          <cell r="J35"/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E36">
            <v>0.40709382127346155</v>
          </cell>
          <cell r="F36">
            <v>0.41359673730200225</v>
          </cell>
          <cell r="G36">
            <v>0.41351330780295381</v>
          </cell>
          <cell r="H36">
            <v>0.17184790989224313</v>
          </cell>
          <cell r="I36">
            <v>8.8986839196797576E-2</v>
          </cell>
          <cell r="J36"/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D37"/>
          <cell r="E37"/>
          <cell r="F37"/>
          <cell r="G37"/>
          <cell r="H37">
            <v>1.7135372129892901E-3</v>
          </cell>
          <cell r="I37">
            <v>6.6061838507423642E-2</v>
          </cell>
          <cell r="J37"/>
          <cell r="K37"/>
          <cell r="L37"/>
          <cell r="M37"/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D38"/>
          <cell r="E38"/>
          <cell r="F38"/>
          <cell r="G38"/>
          <cell r="H38">
            <v>1.7308456696861498E-3</v>
          </cell>
          <cell r="I38">
            <v>6.672912980547839E-2</v>
          </cell>
          <cell r="J38"/>
          <cell r="K38"/>
          <cell r="L38"/>
          <cell r="M38"/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D39"/>
          <cell r="E39"/>
          <cell r="F39"/>
          <cell r="G39">
            <v>8.9610685711078706E-6</v>
          </cell>
          <cell r="H39">
            <v>4.8618961020876301E-3</v>
          </cell>
          <cell r="I39">
            <v>1.8351866303906799E-3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D40"/>
          <cell r="E40"/>
          <cell r="F40"/>
          <cell r="G40">
            <v>8.9610685711078706E-6</v>
          </cell>
          <cell r="H40">
            <v>4.8974759276938402E-3</v>
          </cell>
          <cell r="I40">
            <v>6.7326625580845199E-3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6.1735566368711909</v>
          </cell>
          <cell r="E41">
            <v>5.2213545214492934</v>
          </cell>
          <cell r="F41">
            <v>6.490380314105372</v>
          </cell>
          <cell r="G41">
            <v>5.5667075798064225</v>
          </cell>
          <cell r="H41">
            <v>2.8657650245865813</v>
          </cell>
          <cell r="I41">
            <v>1.2274480929644662</v>
          </cell>
          <cell r="J41"/>
          <cell r="K41"/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8.5743842178766574</v>
          </cell>
          <cell r="E42">
            <v>7.2518812797906858</v>
          </cell>
          <cell r="F42">
            <v>9.6278817712407765</v>
          </cell>
          <cell r="G42">
            <v>8.2576982918810184</v>
          </cell>
          <cell r="H42">
            <v>4.2510986268267219</v>
          </cell>
          <cell r="I42">
            <v>1.7201319810278555</v>
          </cell>
          <cell r="J42"/>
          <cell r="K42"/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1.5088443159899401E-4</v>
          </cell>
          <cell r="E43">
            <v>4.6107635495955898E-5</v>
          </cell>
          <cell r="F43">
            <v>2.36093270412665E-2</v>
          </cell>
          <cell r="G43">
            <v>1.30002469481787E-5</v>
          </cell>
          <cell r="H43">
            <v>5.3374755003818199E-2</v>
          </cell>
          <cell r="I43">
            <v>5.5826312725706703E-5</v>
          </cell>
          <cell r="J43"/>
          <cell r="K43"/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0.47857116224871099</v>
          </cell>
          <cell r="E44">
            <v>0.47861340910260958</v>
          </cell>
          <cell r="F44">
            <v>0.50221724428770975</v>
          </cell>
          <cell r="G44">
            <v>0.50208334890667561</v>
          </cell>
          <cell r="H44">
            <v>0.2516723890869299</v>
          </cell>
          <cell r="I44">
            <v>0.12089510007627363</v>
          </cell>
          <cell r="J44"/>
          <cell r="K44"/>
          <cell r="L44"/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5.1851163771306954</v>
          </cell>
          <cell r="E45">
            <v>5.5676011227191822</v>
          </cell>
          <cell r="F45">
            <v>5.6488662993985574</v>
          </cell>
          <cell r="G45">
            <v>6.5575985178585006</v>
          </cell>
          <cell r="H45">
            <v>10.33056766760869</v>
          </cell>
          <cell r="I45">
            <v>12.434913780185063</v>
          </cell>
          <cell r="J45"/>
          <cell r="K45"/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5.1851163771306954</v>
          </cell>
          <cell r="E46">
            <v>5.5676011227191822</v>
          </cell>
          <cell r="F46">
            <v>5.6488662993985574</v>
          </cell>
          <cell r="G46">
            <v>6.5575985178585006</v>
          </cell>
          <cell r="H46">
            <v>10.33056766760869</v>
          </cell>
          <cell r="I46">
            <v>12.434913780185063</v>
          </cell>
          <cell r="J46"/>
          <cell r="K46"/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5.6087068843302585</v>
          </cell>
          <cell r="E47">
            <v>6.0095664925977159</v>
          </cell>
          <cell r="F47">
            <v>6.0777976499071196</v>
          </cell>
          <cell r="G47">
            <v>7.0181523344042569</v>
          </cell>
          <cell r="H47">
            <v>10.940184505665023</v>
          </cell>
          <cell r="I47">
            <v>13.089382926510593</v>
          </cell>
          <cell r="J47"/>
          <cell r="K47"/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D48"/>
          <cell r="E48">
            <v>0.178656808483458</v>
          </cell>
          <cell r="F48">
            <v>0.18454592030125899</v>
          </cell>
          <cell r="G48">
            <v>0.178713525620389</v>
          </cell>
          <cell r="H48">
            <v>0.60396417320816298</v>
          </cell>
          <cell r="I48">
            <v>0.62108766218730305</v>
          </cell>
          <cell r="J48"/>
          <cell r="K48"/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E49">
            <v>0.340114955586723</v>
          </cell>
          <cell r="F49">
            <v>0.35676883354289191</v>
          </cell>
          <cell r="G49">
            <v>0.37838972393067205</v>
          </cell>
          <cell r="H49">
            <v>0.83745368042491497</v>
          </cell>
          <cell r="I49">
            <v>0.99340059524513813</v>
          </cell>
          <cell r="J49"/>
          <cell r="K49"/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D50"/>
          <cell r="E50"/>
          <cell r="F50">
            <v>1.9002406720649363E-2</v>
          </cell>
          <cell r="G50">
            <v>1.3957841937745432E-2</v>
          </cell>
          <cell r="H50">
            <v>2.1717876803231027E-2</v>
          </cell>
          <cell r="I50">
            <v>1.5074655287198247E-2</v>
          </cell>
          <cell r="J50"/>
          <cell r="K50"/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D51"/>
          <cell r="E51"/>
          <cell r="F51">
            <v>1.9007645157729632E-2</v>
          </cell>
          <cell r="G51">
            <v>1.3961563554536436E-2</v>
          </cell>
          <cell r="H51">
            <v>2.1720059305902612E-2</v>
          </cell>
          <cell r="I51">
            <v>1.5079943217352341E-2</v>
          </cell>
          <cell r="J51"/>
          <cell r="K51"/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1.74944240195434E-4</v>
          </cell>
          <cell r="E52">
            <v>4.8162976185262003E-5</v>
          </cell>
          <cell r="F52">
            <v>1.36483793825298E-2</v>
          </cell>
          <cell r="G52">
            <v>2.82026667603698E-2</v>
          </cell>
          <cell r="H52">
            <v>3.5077701604656099E-2</v>
          </cell>
          <cell r="I52">
            <v>3.9569723338241797E-2</v>
          </cell>
          <cell r="J52"/>
          <cell r="K52"/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1.7494858003549451E-4</v>
          </cell>
          <cell r="E53">
            <v>7.1852272599685137E-6</v>
          </cell>
          <cell r="F53">
            <v>1.3627231142417545E-2</v>
          </cell>
          <cell r="G53">
            <v>4.1741486248958563E-2</v>
          </cell>
          <cell r="H53">
            <v>7.580943027582486E-2</v>
          </cell>
          <cell r="I53">
            <v>7.2911641958741835E-2</v>
          </cell>
          <cell r="J53"/>
          <cell r="K53"/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D54"/>
          <cell r="E54">
            <v>5.4524349597820154E-2</v>
          </cell>
          <cell r="F54">
            <v>8.1846183007682718E-2</v>
          </cell>
          <cell r="G54">
            <v>0.12586594993773115</v>
          </cell>
          <cell r="H54">
            <v>0.17010214021814654</v>
          </cell>
          <cell r="I54">
            <v>0.28470916289917514</v>
          </cell>
          <cell r="J54"/>
          <cell r="K54"/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3.3242866626559353</v>
          </cell>
          <cell r="E55">
            <v>3.8270346159382602</v>
          </cell>
          <cell r="F55">
            <v>5.5050040595593934</v>
          </cell>
          <cell r="G55">
            <v>5.2706565419799629</v>
          </cell>
          <cell r="H55">
            <v>5.5832952040348198</v>
          </cell>
          <cell r="I55">
            <v>5.6408581870393455</v>
          </cell>
          <cell r="J55"/>
          <cell r="K55"/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3.1216003371366563</v>
          </cell>
          <cell r="E56">
            <v>3.5392270461099855</v>
          </cell>
          <cell r="F56">
            <v>2.0264377018483946</v>
          </cell>
          <cell r="G56">
            <v>2.0736185833943077</v>
          </cell>
          <cell r="H56">
            <v>2.3941010559327194</v>
          </cell>
          <cell r="I56">
            <v>2.5716899763375864</v>
          </cell>
          <cell r="J56"/>
          <cell r="K56"/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1.8941562674150236</v>
          </cell>
          <cell r="E57">
            <v>1.8958218293774023</v>
          </cell>
          <cell r="F57">
            <v>2.0842908486765457</v>
          </cell>
          <cell r="G57">
            <v>2.2151700292656376</v>
          </cell>
          <cell r="H57">
            <v>0.91343401500513566</v>
          </cell>
          <cell r="I57">
            <v>2.4584440201359841</v>
          </cell>
          <cell r="J57"/>
          <cell r="K57"/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D58"/>
          <cell r="E58">
            <v>0.35015407385318015</v>
          </cell>
          <cell r="F58">
            <v>0.1532677406687965</v>
          </cell>
          <cell r="G58">
            <v>0.18372196465627602</v>
          </cell>
          <cell r="H58">
            <v>0.30074669011973276</v>
          </cell>
          <cell r="I58">
            <v>0.56370165473346934</v>
          </cell>
          <cell r="J58"/>
          <cell r="K58"/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9.2187758753329447</v>
          </cell>
          <cell r="E59">
            <v>10.684985663174078</v>
          </cell>
          <cell r="F59">
            <v>10.864257188628406</v>
          </cell>
          <cell r="G59">
            <v>10.844169127442743</v>
          </cell>
          <cell r="H59">
            <v>10.211279152683639</v>
          </cell>
          <cell r="I59">
            <v>12.473610004040092</v>
          </cell>
          <cell r="J59"/>
          <cell r="K59"/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0.62804258623588305</v>
          </cell>
          <cell r="E60">
            <v>1.2755268753936801E-4</v>
          </cell>
          <cell r="F60">
            <v>2.51159397449704E-6</v>
          </cell>
          <cell r="G60">
            <v>2.8483660759881101E-6</v>
          </cell>
          <cell r="H60">
            <v>8.5023919941890896E-5</v>
          </cell>
          <cell r="I60">
            <v>1.6649232702505502E-5</v>
          </cell>
          <cell r="J60"/>
          <cell r="K60"/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0.62804258623588305</v>
          </cell>
          <cell r="E61">
            <v>0.62817013892342199</v>
          </cell>
          <cell r="F61">
            <v>0.62817265051739701</v>
          </cell>
          <cell r="G61">
            <v>0.62817549888347302</v>
          </cell>
          <cell r="H61">
            <v>0.62826529879415505</v>
          </cell>
          <cell r="I61">
            <v>0.62828194802685799</v>
          </cell>
          <cell r="J61"/>
          <cell r="K61"/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2.5646233546139142E-2</v>
          </cell>
          <cell r="E62">
            <v>5.4117205641171246E-4</v>
          </cell>
          <cell r="F62">
            <v>7.4937756939093816E-3</v>
          </cell>
          <cell r="G62">
            <v>3.3279367501593702E-5</v>
          </cell>
          <cell r="H62">
            <v>0.25028787681530557</v>
          </cell>
          <cell r="I62">
            <v>0.18362038887156543</v>
          </cell>
          <cell r="J62"/>
          <cell r="K62"/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2.5947898535410244E-2</v>
          </cell>
          <cell r="E63">
            <v>5.4135461719479611E-4</v>
          </cell>
          <cell r="F63">
            <v>7.4850370084694005E-3</v>
          </cell>
          <cell r="G63">
            <v>3.3238831751248831E-5</v>
          </cell>
          <cell r="H63">
            <v>0.24600651213576838</v>
          </cell>
          <cell r="I63">
            <v>0.18202398223384297</v>
          </cell>
          <cell r="J63"/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5.1594132081549338E-2</v>
          </cell>
          <cell r="E64">
            <v>1.0825266736065084E-3</v>
          </cell>
          <cell r="F64">
            <v>1.494173341351788E-2</v>
          </cell>
          <cell r="G64">
            <v>6.6518199252842567E-5</v>
          </cell>
          <cell r="H64">
            <v>0.49629438895107431</v>
          </cell>
          <cell r="I64">
            <v>0.36564437110540843</v>
          </cell>
          <cell r="J64"/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73.238517629658091</v>
          </cell>
          <cell r="E65">
            <v>78.575164740513571</v>
          </cell>
          <cell r="F65">
            <v>61.520925209101925</v>
          </cell>
          <cell r="G65">
            <v>60.236070271028559</v>
          </cell>
          <cell r="H65">
            <v>57.609010417781917</v>
          </cell>
          <cell r="I65">
            <v>54.884025332803233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D66"/>
          <cell r="E66">
            <v>9.1176434220067826</v>
          </cell>
          <cell r="F66">
            <v>2.432144363970322</v>
          </cell>
          <cell r="G66">
            <v>5.406260143718411</v>
          </cell>
          <cell r="H66">
            <v>10.163684706858835</v>
          </cell>
          <cell r="I66">
            <v>15.166308524133385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6.1735566368711909</v>
          </cell>
          <cell r="E67">
            <v>5.2213545214492934</v>
          </cell>
          <cell r="F67">
            <v>6.490380314105372</v>
          </cell>
          <cell r="G67">
            <v>5.5667075798064225</v>
          </cell>
          <cell r="H67">
            <v>2.8657650245865813</v>
          </cell>
          <cell r="I67">
            <v>1.2274480929644662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SCOM-SHLTHD</v>
          </cell>
          <cell r="D68">
            <v>5.553922903119731</v>
          </cell>
          <cell r="E68">
            <v>6.0159505969168121</v>
          </cell>
          <cell r="F68">
            <v>5.5804921272422003</v>
          </cell>
          <cell r="G68">
            <v>5.7148663010561327</v>
          </cell>
          <cell r="H68">
            <v>6.5643850016945278</v>
          </cell>
          <cell r="I68">
            <v>6.8971600786518277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SCOM-SHELCB</v>
          </cell>
          <cell r="D69">
            <v>2.3940561485781657</v>
          </cell>
          <cell r="E69">
            <v>4.1950983345693089E-2</v>
          </cell>
          <cell r="F69">
            <v>0.48752203514004094</v>
          </cell>
          <cell r="G69">
            <v>0.28736828581711071</v>
          </cell>
          <cell r="H69">
            <v>0.19481065336124878</v>
          </cell>
          <cell r="I69">
            <v>0.13388367744023053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SCOM-SHBIO</v>
          </cell>
          <cell r="D70">
            <v>1.2230801672226319</v>
          </cell>
          <cell r="E70">
            <v>1.3407777943656694</v>
          </cell>
          <cell r="F70"/>
          <cell r="G70"/>
          <cell r="H70"/>
          <cell r="I70"/>
          <cell r="J70"/>
        </row>
        <row r="71">
          <cell r="A71" t="str">
            <v>SCOM-SHDEM</v>
          </cell>
          <cell r="B71" t="str">
            <v>VAR_fin</v>
          </cell>
          <cell r="C71" t="str">
            <v>SCOM-SHELCH</v>
          </cell>
          <cell r="D71">
            <v>4.2612264256539047</v>
          </cell>
          <cell r="E71">
            <v>4.6176650370564643</v>
          </cell>
          <cell r="F71">
            <v>6.2557065431428462</v>
          </cell>
          <cell r="G71">
            <v>15.112680253127703</v>
          </cell>
          <cell r="H71">
            <v>23.154358589765867</v>
          </cell>
          <cell r="I71">
            <v>21.45405407184445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SCOM-SHPLT</v>
          </cell>
          <cell r="D72">
            <v>1.8770823671121519</v>
          </cell>
          <cell r="E72">
            <v>2.1600892324823331</v>
          </cell>
          <cell r="F72">
            <v>0.18843232166549301</v>
          </cell>
          <cell r="G72">
            <v>0.16724020938151879</v>
          </cell>
          <cell r="H72">
            <v>8.6762048108621204E-2</v>
          </cell>
          <cell r="I72">
            <v>3.0216269315554163E-2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SCOM-SHLTHC-NGA</v>
          </cell>
          <cell r="D73">
            <v>0.6856720183403584</v>
          </cell>
          <cell r="E73">
            <v>0.74272271288110492</v>
          </cell>
          <cell r="F73"/>
          <cell r="G73"/>
          <cell r="H73"/>
          <cell r="I73"/>
          <cell r="J73"/>
        </row>
        <row r="74">
          <cell r="A74" t="str">
            <v>SCOM-SHDEM</v>
          </cell>
          <cell r="B74" t="str">
            <v>VAR_fin</v>
          </cell>
          <cell r="C74" t="str">
            <v>SCOM-SHSOL</v>
          </cell>
          <cell r="D74">
            <v>0.6270269616991454</v>
          </cell>
          <cell r="E74">
            <v>0.68736487654286271</v>
          </cell>
          <cell r="F74">
            <v>0.55680229316057628</v>
          </cell>
          <cell r="G74">
            <v>0.92855295143958538</v>
          </cell>
          <cell r="H74">
            <v>1.5523272299531679</v>
          </cell>
          <cell r="I74">
            <v>1.7306141081752526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SCOM-SHNGA</v>
          </cell>
          <cell r="D75">
            <v>24.18973075928638</v>
          </cell>
          <cell r="E75">
            <v>24.195277431669112</v>
          </cell>
          <cell r="F75">
            <v>18.183542754877003</v>
          </cell>
          <cell r="G75">
            <v>12.050332480431603</v>
          </cell>
          <cell r="H75">
            <v>3.5091992053301171</v>
          </cell>
          <cell r="I75">
            <v>2.0241291762025888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SCOM-SHNGAH</v>
          </cell>
          <cell r="D76"/>
          <cell r="E76"/>
          <cell r="F76">
            <v>2.1256437358659031</v>
          </cell>
          <cell r="G76">
            <v>5.0214586450596643</v>
          </cell>
          <cell r="H76">
            <v>7.6363253090480061</v>
          </cell>
          <cell r="I76">
            <v>6.1570936649976202</v>
          </cell>
          <cell r="J76"/>
          <cell r="K76"/>
        </row>
        <row r="77">
          <cell r="A77" t="str">
            <v>SCOM-SHDEM</v>
          </cell>
          <cell r="B77" t="str">
            <v>VAR_fin</v>
          </cell>
          <cell r="C77" t="str">
            <v>SCOM-SHLTHC-BIO</v>
          </cell>
          <cell r="D77">
            <v>1.4100807139813516</v>
          </cell>
          <cell r="E77">
            <v>1.5273810430889851</v>
          </cell>
          <cell r="F77"/>
          <cell r="G77"/>
          <cell r="H77"/>
          <cell r="I77"/>
          <cell r="J77"/>
          <cell r="K77"/>
        </row>
        <row r="78">
          <cell r="A78" t="str">
            <v>SCOM-SHDEM</v>
          </cell>
          <cell r="B78" t="str">
            <v>VAR_fin</v>
          </cell>
          <cell r="C78" t="str">
            <v>SCOM-SHLFO</v>
          </cell>
          <cell r="D78">
            <v>24.843082527793097</v>
          </cell>
          <cell r="E78">
            <v>22.906987088708437</v>
          </cell>
          <cell r="F78">
            <v>19.220258719932175</v>
          </cell>
          <cell r="G78">
            <v>9.98060342119037</v>
          </cell>
          <cell r="H78">
            <v>1.8813926490749429</v>
          </cell>
          <cell r="I78">
            <v>6.311766907788631E-2</v>
          </cell>
          <cell r="J78"/>
          <cell r="K78"/>
        </row>
        <row r="79">
          <cell r="A79" t="str">
            <v>ITOT-SWHSTG-NGAHP</v>
          </cell>
          <cell r="B79" t="str">
            <v>VAR_fout</v>
          </cell>
          <cell r="C79" t="str">
            <v>ITOT-SWHANGAH</v>
          </cell>
          <cell r="D79">
            <v>3.9920042163085138E-4</v>
          </cell>
          <cell r="E79">
            <v>8.1842311327520094E-4</v>
          </cell>
          <cell r="F79">
            <v>5.2503528330290752E-3</v>
          </cell>
          <cell r="G79">
            <v>1.5382360757662861E-4</v>
          </cell>
          <cell r="H79">
            <v>3.2956680112734482E-3</v>
          </cell>
          <cell r="I79">
            <v>5.6400946592966988E-3</v>
          </cell>
          <cell r="J79"/>
          <cell r="K79"/>
        </row>
        <row r="80">
          <cell r="A80" t="str">
            <v>ITOT-SWHSTG-NGAHP</v>
          </cell>
          <cell r="B80" t="str">
            <v>VAR_fin</v>
          </cell>
          <cell r="C80" t="str">
            <v>ITOT-SWHANGAH</v>
          </cell>
          <cell r="D80">
            <v>3.9920042163085138E-4</v>
          </cell>
          <cell r="E80">
            <v>8.1842311327520094E-4</v>
          </cell>
          <cell r="F80">
            <v>6.7749556272124816E-3</v>
          </cell>
          <cell r="G80">
            <v>1.9228803009154637E-4</v>
          </cell>
          <cell r="H80">
            <v>3.8718010584660812E-3</v>
          </cell>
          <cell r="I80">
            <v>6.2124826363343958E-3</v>
          </cell>
          <cell r="J80"/>
          <cell r="K80"/>
        </row>
        <row r="81">
          <cell r="A81" t="str">
            <v>ITOT-SWHSTG-NGAHP</v>
          </cell>
          <cell r="B81" t="str">
            <v>VAR_ncap</v>
          </cell>
          <cell r="C81" t="str">
            <v>-</v>
          </cell>
          <cell r="D81">
            <v>2.60126451614686E-2</v>
          </cell>
          <cell r="E81">
            <v>7.9102346392485106E-5</v>
          </cell>
          <cell r="F81">
            <v>3.66800572485583E-4</v>
          </cell>
          <cell r="G81">
            <v>1.8262476376717E-4</v>
          </cell>
          <cell r="H81">
            <v>3.2876862353730898E-4</v>
          </cell>
          <cell r="I81">
            <v>8.0857462578788099E-4</v>
          </cell>
          <cell r="J81"/>
          <cell r="K81"/>
        </row>
        <row r="82">
          <cell r="A82" t="str">
            <v>ITOT-SWHSTG-NGAHP</v>
          </cell>
          <cell r="B82" t="str">
            <v>VAR_cap</v>
          </cell>
          <cell r="C82" t="str">
            <v>-</v>
          </cell>
          <cell r="D82">
            <v>2.60126451614686E-2</v>
          </cell>
          <cell r="E82">
            <v>3.6676052343929955E-4</v>
          </cell>
          <cell r="F82">
            <v>6.1474810252340126E-4</v>
          </cell>
          <cell r="G82">
            <v>7.8067650220031704E-7</v>
          </cell>
          <cell r="H82">
            <v>3.2751737908068301E-4</v>
          </cell>
          <cell r="I82">
            <v>8.6495585506177696E-4</v>
          </cell>
          <cell r="J82"/>
        </row>
        <row r="83">
          <cell r="A83" t="str">
            <v>ITOT-STG-ELCSPEC</v>
          </cell>
          <cell r="B83" t="str">
            <v>VAR_fout</v>
          </cell>
          <cell r="C83" t="str">
            <v>ITOT-ELS</v>
          </cell>
          <cell r="D83"/>
          <cell r="E83">
            <v>0.16399225258813963</v>
          </cell>
          <cell r="F83">
            <v>0.16618757534512477</v>
          </cell>
          <cell r="G83">
            <v>0.1670012205390943</v>
          </cell>
          <cell r="H83">
            <v>0.23478057446281941</v>
          </cell>
          <cell r="I83">
            <v>0.37925521828053393</v>
          </cell>
          <cell r="J83"/>
          <cell r="K83"/>
        </row>
        <row r="84">
          <cell r="A84" t="str">
            <v>ITOT-STG-ELCSPEC</v>
          </cell>
          <cell r="B84" t="str">
            <v>VAR_fin</v>
          </cell>
          <cell r="C84" t="str">
            <v>ITOT-ELS</v>
          </cell>
          <cell r="D84"/>
          <cell r="E84">
            <v>0.16400127266893066</v>
          </cell>
          <cell r="F84">
            <v>0.16619669037413498</v>
          </cell>
          <cell r="G84">
            <v>0.16700965413582544</v>
          </cell>
          <cell r="H84">
            <v>0.23478798465348338</v>
          </cell>
          <cell r="I84">
            <v>0.37925977579503967</v>
          </cell>
          <cell r="J84"/>
          <cell r="K84"/>
        </row>
        <row r="85">
          <cell r="A85" t="str">
            <v>ITOT-STG-ELCSPEC</v>
          </cell>
          <cell r="B85" t="str">
            <v>VAR_ncap</v>
          </cell>
          <cell r="C85" t="str">
            <v>-</v>
          </cell>
          <cell r="D85"/>
          <cell r="E85">
            <v>6.2587938770167304E-3</v>
          </cell>
          <cell r="F85">
            <v>5.9759217099308903E-5</v>
          </cell>
          <cell r="G85">
            <v>3.6775851533504102E-5</v>
          </cell>
          <cell r="H85">
            <v>5.12788232837627E-3</v>
          </cell>
          <cell r="I85">
            <v>8.9274786369668794E-3</v>
          </cell>
          <cell r="J85"/>
          <cell r="K85"/>
        </row>
        <row r="86">
          <cell r="A86" t="str">
            <v>ITOT-STG-ELCSPEC</v>
          </cell>
          <cell r="B86" t="str">
            <v>VAR_cap</v>
          </cell>
          <cell r="C86" t="str">
            <v>-</v>
          </cell>
          <cell r="D86"/>
          <cell r="E86">
            <v>6.2587938770167304E-3</v>
          </cell>
          <cell r="F86">
            <v>6.3105664020158868E-3</v>
          </cell>
          <cell r="G86">
            <v>6.3328967641205309E-3</v>
          </cell>
          <cell r="H86">
            <v>8.8000456653001494E-3</v>
          </cell>
          <cell r="I86">
            <v>1.4356385963354231E-2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RHSA_LTH</v>
          </cell>
          <cell r="D87">
            <v>1.8802264990947906E-2</v>
          </cell>
          <cell r="E87">
            <v>9.3994980639560395E-5</v>
          </cell>
          <cell r="F87">
            <v>9.5632243925067514E-3</v>
          </cell>
          <cell r="G87">
            <v>-5.5600977879859732E-5</v>
          </cell>
          <cell r="H87">
            <v>2.1867886128346854E-2</v>
          </cell>
          <cell r="I87">
            <v>2.4246064166571223E-2</v>
          </cell>
          <cell r="J87"/>
          <cell r="K87"/>
          <cell r="L87"/>
        </row>
        <row r="88">
          <cell r="A88" t="str">
            <v>D-RHES_LTH_CHPNGA</v>
          </cell>
          <cell r="B88" t="str">
            <v>VAR_fout</v>
          </cell>
          <cell r="C88" t="str">
            <v>LTH</v>
          </cell>
          <cell r="D88"/>
          <cell r="E88"/>
          <cell r="F88">
            <v>2.2840698798449196E-6</v>
          </cell>
          <cell r="G88"/>
          <cell r="H88">
            <v>2.8441288241971823E-5</v>
          </cell>
          <cell r="I88">
            <v>4.5712292987580017E-5</v>
          </cell>
          <cell r="J88"/>
          <cell r="K88"/>
        </row>
        <row r="89">
          <cell r="A89" t="str">
            <v>D-RHES_LTH_CHPNGA</v>
          </cell>
          <cell r="B89" t="str">
            <v>VAR_fout</v>
          </cell>
          <cell r="C89" t="str">
            <v>RHES_LTH_CHPNGA_ON</v>
          </cell>
          <cell r="D89">
            <v>3.7307190365888483E-2</v>
          </cell>
          <cell r="E89">
            <v>3.0933913297385915E-3</v>
          </cell>
          <cell r="F89">
            <v>1.1693432070595851E-4</v>
          </cell>
          <cell r="G89">
            <v>-8.4349028188030975E-6</v>
          </cell>
          <cell r="H89"/>
          <cell r="I89"/>
          <cell r="J89"/>
          <cell r="K89"/>
        </row>
        <row r="90">
          <cell r="A90" t="str">
            <v>D-RHES_LTH_CHPNGA</v>
          </cell>
          <cell r="B90" t="str">
            <v>VAR_fin</v>
          </cell>
          <cell r="C90" t="str">
            <v>RHES_LTH_CHPNGA</v>
          </cell>
          <cell r="D90">
            <v>5.6109455356836327E-2</v>
          </cell>
          <cell r="E90">
            <v>3.1885305999916486E-3</v>
          </cell>
          <cell r="F90">
            <v>9.6837134265118328E-3</v>
          </cell>
          <cell r="G90">
            <v>-6.3592547509005198E-5</v>
          </cell>
          <cell r="H90">
            <v>2.1896327416588823E-2</v>
          </cell>
          <cell r="I90">
            <v>2.4291776459558826E-2</v>
          </cell>
          <cell r="J90"/>
          <cell r="K90"/>
        </row>
        <row r="91">
          <cell r="A91" t="str">
            <v>D-ICOA</v>
          </cell>
          <cell r="B91" t="str">
            <v>VAR_fout</v>
          </cell>
          <cell r="C91" t="str">
            <v>ICOA</v>
          </cell>
          <cell r="D91">
            <v>3.5600126292326757</v>
          </cell>
          <cell r="E91">
            <v>3.4647193098122413</v>
          </cell>
          <cell r="F91">
            <v>3.9355579699592212E-2</v>
          </cell>
          <cell r="G91">
            <v>7.8442736175054533E-6</v>
          </cell>
          <cell r="H91">
            <v>5.665934434187298E-4</v>
          </cell>
          <cell r="I91">
            <v>1.3661270687521166E-3</v>
          </cell>
          <cell r="J91"/>
          <cell r="K91"/>
        </row>
        <row r="92">
          <cell r="A92" t="str">
            <v>D-ICOA</v>
          </cell>
          <cell r="B92" t="str">
            <v>VAR_fout</v>
          </cell>
          <cell r="C92" t="str">
            <v>CO2</v>
          </cell>
          <cell r="D92">
            <v>330.01317072986899</v>
          </cell>
          <cell r="E92">
            <v>321.17948001959502</v>
          </cell>
          <cell r="F92">
            <v>3.6482622381522001</v>
          </cell>
          <cell r="G92">
            <v>7.2716416434275596E-4</v>
          </cell>
          <cell r="H92">
            <v>5.2523212204916299E-2</v>
          </cell>
          <cell r="I92">
            <v>0.12663997927332099</v>
          </cell>
          <cell r="J92"/>
          <cell r="K92"/>
        </row>
        <row r="93">
          <cell r="A93" t="str">
            <v>D-ICOA</v>
          </cell>
          <cell r="B93" t="str">
            <v>VAR_fin</v>
          </cell>
          <cell r="C93" t="str">
            <v>COA</v>
          </cell>
          <cell r="D93">
            <v>3.5600126292326757</v>
          </cell>
          <cell r="E93">
            <v>3.4647193098122413</v>
          </cell>
          <cell r="F93">
            <v>3.9355579699592212E-2</v>
          </cell>
          <cell r="G93">
            <v>7.8442736175054533E-6</v>
          </cell>
          <cell r="H93">
            <v>5.665934434187298E-4</v>
          </cell>
          <cell r="I93">
            <v>1.3661270687521166E-3</v>
          </cell>
          <cell r="J93"/>
        </row>
        <row r="94">
          <cell r="A94" t="str">
            <v>RHEM-SHCONBR1</v>
          </cell>
          <cell r="B94" t="str">
            <v>VAR_fout</v>
          </cell>
          <cell r="C94" t="str">
            <v>RHEM-SHCON</v>
          </cell>
          <cell r="D94">
            <v>3.292856982853716E-2</v>
          </cell>
          <cell r="E94">
            <v>0.78007682807946244</v>
          </cell>
          <cell r="F94">
            <v>0.50484138091815089</v>
          </cell>
          <cell r="G94">
            <v>3.0568898952899928</v>
          </cell>
          <cell r="H94">
            <v>4.0258758850871592</v>
          </cell>
          <cell r="I94">
            <v>4.2470478568056906</v>
          </cell>
          <cell r="J94"/>
        </row>
        <row r="95">
          <cell r="A95" t="str">
            <v>RHEM-SHCONBR1</v>
          </cell>
          <cell r="B95" t="str">
            <v>VAR_fin</v>
          </cell>
          <cell r="C95" t="str">
            <v>CON</v>
          </cell>
          <cell r="D95">
            <v>3.292856982853716E-2</v>
          </cell>
          <cell r="E95">
            <v>0.78007682807946244</v>
          </cell>
          <cell r="F95">
            <v>0.50484138091815089</v>
          </cell>
          <cell r="G95">
            <v>3.0568898952899928</v>
          </cell>
          <cell r="H95">
            <v>4.0258758850871592</v>
          </cell>
          <cell r="I95">
            <v>4.2470478568056906</v>
          </cell>
          <cell r="J95"/>
          <cell r="K95"/>
        </row>
        <row r="96">
          <cell r="A96" t="str">
            <v>RHEM-SHCONBR1</v>
          </cell>
          <cell r="B96" t="str">
            <v>VAR_ncap</v>
          </cell>
          <cell r="C96" t="str">
            <v>-</v>
          </cell>
          <cell r="D96">
            <v>2.7551781849665901E-2</v>
          </cell>
          <cell r="E96">
            <v>2.7551720129671099E-2</v>
          </cell>
          <cell r="F96">
            <v>8.7966985098384698E-6</v>
          </cell>
          <cell r="G96">
            <v>0.16085638930726601</v>
          </cell>
          <cell r="H96">
            <v>4.9440375377252103E-5</v>
          </cell>
          <cell r="I96">
            <v>4.0929255437411903E-2</v>
          </cell>
          <cell r="J96"/>
          <cell r="K96"/>
        </row>
        <row r="97">
          <cell r="A97" t="str">
            <v>RHEM-SHCONBR1</v>
          </cell>
          <cell r="B97" t="str">
            <v>VAR_cap</v>
          </cell>
          <cell r="C97" t="str">
            <v>-</v>
          </cell>
          <cell r="D97">
            <v>2.7551781849665901E-2</v>
          </cell>
          <cell r="E97">
            <v>5.5103378805501299E-2</v>
          </cell>
          <cell r="F97">
            <v>5.5110168788127585E-2</v>
          </cell>
          <cell r="G97">
            <v>0.21596745889691657</v>
          </cell>
          <cell r="H97">
            <v>0.28443912037240004</v>
          </cell>
          <cell r="I97">
            <v>0.30000857760319494</v>
          </cell>
          <cell r="J97"/>
          <cell r="K97"/>
        </row>
        <row r="98">
          <cell r="A98" t="str">
            <v>RHEM-SHELCBR</v>
          </cell>
          <cell r="B98" t="str">
            <v>VAR_fout</v>
          </cell>
          <cell r="C98" t="str">
            <v>RHEM-SHAELCB</v>
          </cell>
          <cell r="D98">
            <v>4.6280653052408018</v>
          </cell>
          <cell r="E98">
            <v>1.8496690607599755</v>
          </cell>
          <cell r="F98">
            <v>3.341478652359043E-2</v>
          </cell>
          <cell r="G98">
            <v>7.4063476493085841E-3</v>
          </cell>
          <cell r="H98">
            <v>2.1771036279589532E-3</v>
          </cell>
          <cell r="I98">
            <v>1.1200684671788307E-3</v>
          </cell>
          <cell r="J98"/>
        </row>
        <row r="99">
          <cell r="A99" t="str">
            <v>RHEM-SHELCBR</v>
          </cell>
          <cell r="B99" t="str">
            <v>VAR_fin</v>
          </cell>
          <cell r="C99" t="str">
            <v>RHEM_ELC</v>
          </cell>
          <cell r="D99">
            <v>4.8716476897271601</v>
          </cell>
          <cell r="E99">
            <v>1.9470200639578696</v>
          </cell>
          <cell r="F99">
            <v>3.6497875301146489E-2</v>
          </cell>
          <cell r="G99">
            <v>8.0897106061283558E-3</v>
          </cell>
          <cell r="H99">
            <v>2.3344385555812246E-3</v>
          </cell>
          <cell r="I99">
            <v>1.1790194391356108E-3</v>
          </cell>
          <cell r="J99"/>
        </row>
        <row r="100">
          <cell r="A100" t="str">
            <v>RHEM-SHELCBR</v>
          </cell>
          <cell r="B100" t="str">
            <v>VAR_ncap</v>
          </cell>
          <cell r="C100" t="str">
            <v>-</v>
          </cell>
          <cell r="D100">
            <v>1.5805833332674501E-5</v>
          </cell>
          <cell r="E100">
            <v>7.4516305956199299E-6</v>
          </cell>
          <cell r="F100">
            <v>7.0937606743223198E-6</v>
          </cell>
          <cell r="G100">
            <v>7.6556659496639394E-6</v>
          </cell>
          <cell r="H100">
            <v>1.6552022053732199E-4</v>
          </cell>
          <cell r="I100">
            <v>2.8298130719652602E-6</v>
          </cell>
          <cell r="J100"/>
          <cell r="K100"/>
        </row>
        <row r="101">
          <cell r="A101" t="str">
            <v>RHEM-SHELCBR</v>
          </cell>
          <cell r="B101" t="str">
            <v>VAR_cap</v>
          </cell>
          <cell r="C101" t="str">
            <v>-</v>
          </cell>
          <cell r="D101">
            <v>0.32681694978167164</v>
          </cell>
          <cell r="E101">
            <v>0.21832956854579427</v>
          </cell>
          <cell r="F101">
            <v>4.4485832269645642E-3</v>
          </cell>
          <cell r="G101">
            <v>9.8880738631623721E-4</v>
          </cell>
          <cell r="H101">
            <v>2.8133501328577029E-4</v>
          </cell>
          <cell r="I101">
            <v>1.333515386750166E-4</v>
          </cell>
          <cell r="J101"/>
          <cell r="K101"/>
        </row>
        <row r="102">
          <cell r="A102" t="str">
            <v>RHNM-SHLTHCHPNGA</v>
          </cell>
          <cell r="B102" t="str">
            <v>VAR_fout</v>
          </cell>
          <cell r="C102" t="str">
            <v>RHNM-SHLTHC-NGA</v>
          </cell>
          <cell r="D102"/>
          <cell r="E102">
            <v>2.6108639019547758E-3</v>
          </cell>
          <cell r="F102"/>
          <cell r="G102"/>
          <cell r="H102"/>
          <cell r="I102"/>
          <cell r="J102"/>
          <cell r="K102"/>
        </row>
        <row r="103">
          <cell r="A103" t="str">
            <v>RHNM-SHLTHCHPNGA</v>
          </cell>
          <cell r="B103" t="str">
            <v>VAR_fin</v>
          </cell>
          <cell r="C103" t="str">
            <v>RHNMLTHCHPC</v>
          </cell>
          <cell r="D103"/>
          <cell r="E103">
            <v>2.6108639019547758E-3</v>
          </cell>
          <cell r="F103"/>
          <cell r="G103"/>
          <cell r="H103"/>
          <cell r="I103"/>
          <cell r="J103"/>
        </row>
        <row r="104">
          <cell r="A104" t="str">
            <v>RHNM-SHLTHCHPNGA</v>
          </cell>
          <cell r="B104" t="str">
            <v>VAR_fin</v>
          </cell>
          <cell r="C104" t="str">
            <v>RHNM_LTH_CHPNGA_ON</v>
          </cell>
          <cell r="D104"/>
          <cell r="E104">
            <v>2.6372362646007821E-3</v>
          </cell>
          <cell r="F104"/>
          <cell r="G104"/>
          <cell r="H104"/>
          <cell r="I104"/>
          <cell r="J104"/>
        </row>
        <row r="105">
          <cell r="A105" t="str">
            <v>RHNM-SHLTHCHPNGA</v>
          </cell>
          <cell r="B105" t="str">
            <v>VAR_ncap</v>
          </cell>
          <cell r="C105" t="str">
            <v>-</v>
          </cell>
          <cell r="D105"/>
          <cell r="E105">
            <v>9.4119643425573201E-4</v>
          </cell>
          <cell r="F105">
            <v>1.5494406366358901E-3</v>
          </cell>
          <cell r="G105">
            <v>3.8058393792597801E-5</v>
          </cell>
          <cell r="H105">
            <v>4.59220482400629E-2</v>
          </cell>
          <cell r="I105">
            <v>2.29773155376388E-2</v>
          </cell>
          <cell r="J105"/>
          <cell r="K105"/>
        </row>
        <row r="106">
          <cell r="A106" t="str">
            <v>RHNM-SHLTHCHPNGA</v>
          </cell>
          <cell r="B106" t="str">
            <v>VAR_cap</v>
          </cell>
          <cell r="C106" t="str">
            <v>-</v>
          </cell>
          <cell r="D106"/>
          <cell r="E106">
            <v>9.4119643425573201E-4</v>
          </cell>
          <cell r="F106">
            <v>1.8143410423483778E-3</v>
          </cell>
          <cell r="G106">
            <v>7.0909977093580167E-5</v>
          </cell>
          <cell r="H106">
            <v>4.7006479337997516E-2</v>
          </cell>
          <cell r="I106">
            <v>3.5817739995182903E-2</v>
          </cell>
          <cell r="J106"/>
          <cell r="K106"/>
        </row>
        <row r="107">
          <cell r="A107" t="str">
            <v>RHEM-SHCONBR2</v>
          </cell>
          <cell r="B107" t="str">
            <v>VAR_fout</v>
          </cell>
          <cell r="C107" t="str">
            <v>RHEM-SHCON</v>
          </cell>
          <cell r="D107">
            <v>3.9994453008124632E-2</v>
          </cell>
          <cell r="E107">
            <v>1.2150995282926929</v>
          </cell>
          <cell r="F107">
            <v>0.85142495969821619</v>
          </cell>
          <cell r="G107">
            <v>1.2155619113939855</v>
          </cell>
          <cell r="H107">
            <v>4.0244153102434836</v>
          </cell>
          <cell r="I107">
            <v>6.614848996774163</v>
          </cell>
          <cell r="J107"/>
          <cell r="K107"/>
        </row>
        <row r="108">
          <cell r="A108" t="str">
            <v>RHEM-SHCONBR2</v>
          </cell>
          <cell r="B108" t="str">
            <v>VAR_fin</v>
          </cell>
          <cell r="C108" t="str">
            <v>CON</v>
          </cell>
          <cell r="D108">
            <v>3.9994453008124632E-2</v>
          </cell>
          <cell r="E108">
            <v>1.2150995282926929</v>
          </cell>
          <cell r="F108">
            <v>0.85142495969821619</v>
          </cell>
          <cell r="G108">
            <v>1.2155619113939855</v>
          </cell>
          <cell r="H108">
            <v>4.0244153102434836</v>
          </cell>
          <cell r="I108">
            <v>6.614848996774163</v>
          </cell>
          <cell r="J108"/>
          <cell r="K108"/>
        </row>
        <row r="109">
          <cell r="A109" t="str">
            <v>RHEM-SHCONBR2</v>
          </cell>
          <cell r="B109" t="str">
            <v>VAR_ncap</v>
          </cell>
          <cell r="C109" t="str">
            <v>-</v>
          </cell>
          <cell r="D109">
            <v>4.2912308385726003E-2</v>
          </cell>
          <cell r="E109">
            <v>4.2912205350242399E-2</v>
          </cell>
          <cell r="F109">
            <v>7.3162665647753197E-6</v>
          </cell>
          <cell r="G109">
            <v>1.10391632770351E-4</v>
          </cell>
          <cell r="H109">
            <v>5.00230273725304E-2</v>
          </cell>
          <cell r="I109">
            <v>0.222356520107305</v>
          </cell>
          <cell r="J109"/>
        </row>
        <row r="110">
          <cell r="A110" t="str">
            <v>RHEM-SHCONBR2</v>
          </cell>
          <cell r="B110" t="str">
            <v>VAR_cap</v>
          </cell>
          <cell r="C110" t="str">
            <v>-</v>
          </cell>
          <cell r="D110">
            <v>4.2912308385726003E-2</v>
          </cell>
          <cell r="E110">
            <v>8.582438239451308E-2</v>
          </cell>
          <cell r="F110">
            <v>8.582965519591261E-2</v>
          </cell>
          <cell r="G110">
            <v>8.5941005636844189E-2</v>
          </cell>
          <cell r="H110">
            <v>0.2843360049148021</v>
          </cell>
          <cell r="I110">
            <v>0.46719548437337532</v>
          </cell>
          <cell r="J110"/>
        </row>
        <row r="111">
          <cell r="A111" t="str">
            <v>D-RHSA_LTH</v>
          </cell>
          <cell r="B111" t="str">
            <v>VAR_fout</v>
          </cell>
          <cell r="C111" t="str">
            <v>RHSA_LTH</v>
          </cell>
          <cell r="D111">
            <v>5.4791851985105259E-3</v>
          </cell>
          <cell r="E111">
            <v>1.0905178666465209E-3</v>
          </cell>
          <cell r="F111">
            <v>1.9257318233922096E-3</v>
          </cell>
          <cell r="G111">
            <v>6.1934946679371933E-3</v>
          </cell>
          <cell r="H111">
            <v>4.9675679692708669E-2</v>
          </cell>
          <cell r="I111">
            <v>1.8877600769279249E-2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RHEM_LTH_CHPWOD_ON</v>
          </cell>
          <cell r="D112">
            <v>3.6424926343469822E-5</v>
          </cell>
          <cell r="E112">
            <v>5.6668467048955148E-5</v>
          </cell>
          <cell r="F112">
            <v>8.0634611137630689E-6</v>
          </cell>
          <cell r="G112">
            <v>1.9364365537989764E-3</v>
          </cell>
          <cell r="H112">
            <v>4.5610429437644547E-2</v>
          </cell>
          <cell r="I112"/>
          <cell r="J112"/>
        </row>
        <row r="113">
          <cell r="A113" t="str">
            <v>D-RHSA_LTH</v>
          </cell>
          <cell r="B113" t="str">
            <v>VAR_fin</v>
          </cell>
          <cell r="C113" t="str">
            <v>RHNM_LTH_CHPWOD_ON</v>
          </cell>
          <cell r="D113">
            <v>5.1807369159186198E-5</v>
          </cell>
          <cell r="E113">
            <v>5.1949695128900432E-5</v>
          </cell>
          <cell r="F113">
            <v>1.382222165956613E-5</v>
          </cell>
          <cell r="G113">
            <v>1.3757950167547731E-3</v>
          </cell>
          <cell r="H113"/>
          <cell r="I113"/>
          <cell r="J113"/>
        </row>
        <row r="114">
          <cell r="A114" t="str">
            <v>D-RHSA_LTH</v>
          </cell>
          <cell r="B114" t="str">
            <v>VAR_fin</v>
          </cell>
          <cell r="C114" t="str">
            <v>RHES_LTH_CHPWOD_ON</v>
          </cell>
          <cell r="D114">
            <v>4.6169868777669242E-5</v>
          </cell>
          <cell r="E114">
            <v>5.0877207938572185E-5</v>
          </cell>
          <cell r="F114">
            <v>1.4694880530946583E-5</v>
          </cell>
          <cell r="G114">
            <v>5.4938106120707548E-4</v>
          </cell>
          <cell r="H114"/>
          <cell r="I114"/>
          <cell r="J114"/>
        </row>
        <row r="115">
          <cell r="A115" t="str">
            <v>D-RHSA_LTH</v>
          </cell>
          <cell r="B115" t="str">
            <v>VAR_fin</v>
          </cell>
          <cell r="C115" t="str">
            <v>RHNS_LTH_CHPWOD_ON</v>
          </cell>
          <cell r="D115">
            <v>5.6146165083930562E-5</v>
          </cell>
          <cell r="E115">
            <v>5.350316059601574E-5</v>
          </cell>
          <cell r="F115">
            <v>1.3086280359196712E-5</v>
          </cell>
          <cell r="G115">
            <v>2.399347531429724E-3</v>
          </cell>
          <cell r="H115"/>
          <cell r="I115"/>
          <cell r="J115"/>
        </row>
        <row r="116">
          <cell r="A116" t="str">
            <v>D-RHSA_LTH</v>
          </cell>
          <cell r="B116" t="str">
            <v>VAR_fin</v>
          </cell>
          <cell r="C116" t="str">
            <v>RHEM_LTH_CHPNGA_ON</v>
          </cell>
          <cell r="D116">
            <v>4.4717382049527885E-3</v>
          </cell>
          <cell r="E116">
            <v>2.7426653978936203E-4</v>
          </cell>
          <cell r="F116">
            <v>1.158373673967053E-3</v>
          </cell>
          <cell r="G116">
            <v>-2.0923356336438647E-5</v>
          </cell>
          <cell r="H116"/>
          <cell r="I116"/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RHNM_LTH_CHPNGA_ON</v>
          </cell>
          <cell r="D117">
            <v>5.177983373665592E-5</v>
          </cell>
          <cell r="E117">
            <v>9.4463850707492508E-5</v>
          </cell>
          <cell r="F117"/>
          <cell r="G117">
            <v>-1.9709773239089308E-5</v>
          </cell>
          <cell r="H117"/>
          <cell r="I117"/>
          <cell r="J117"/>
        </row>
        <row r="118">
          <cell r="A118" t="str">
            <v>D-RHSA_LTH</v>
          </cell>
          <cell r="B118" t="str">
            <v>VAR_fin</v>
          </cell>
          <cell r="C118" t="str">
            <v>RHES_LTH_CHPNGA_ON</v>
          </cell>
          <cell r="D118">
            <v>7.1679265449509555E-4</v>
          </cell>
          <cell r="E118">
            <v>4.833876849828828E-4</v>
          </cell>
          <cell r="F118">
            <v>1.1693432070595851E-4</v>
          </cell>
          <cell r="G118">
            <v>-8.4349028188030975E-6</v>
          </cell>
          <cell r="H118"/>
          <cell r="I118"/>
          <cell r="J118"/>
          <cell r="K118"/>
        </row>
        <row r="119">
          <cell r="A119" t="str">
            <v>D-RHSA_LTH</v>
          </cell>
          <cell r="B119" t="str">
            <v>VAR_fin</v>
          </cell>
          <cell r="C119" t="str">
            <v>RHNS_LTH_CHPNGA_ON</v>
          </cell>
          <cell r="D119">
            <v>4.8326175961729092E-5</v>
          </cell>
          <cell r="E119">
            <v>2.5401260454339776E-5</v>
          </cell>
          <cell r="F119">
            <v>6.0075698505572582E-4</v>
          </cell>
          <cell r="G119">
            <v>-1.8299763377840038E-5</v>
          </cell>
          <cell r="H119">
            <v>4.0652502550641446E-3</v>
          </cell>
          <cell r="I119">
            <v>1.8877600769279249E-2</v>
          </cell>
          <cell r="J119"/>
          <cell r="K119"/>
        </row>
        <row r="120">
          <cell r="A120" t="str">
            <v>RHEM-SHLTHCHPWOD</v>
          </cell>
          <cell r="B120" t="str">
            <v>VAR_ncap</v>
          </cell>
          <cell r="C120" t="str">
            <v>-</v>
          </cell>
          <cell r="D120"/>
          <cell r="E120"/>
          <cell r="F120"/>
          <cell r="G120">
            <v>5.1649989603862201E-4</v>
          </cell>
          <cell r="H120">
            <v>2.07937067824867E-3</v>
          </cell>
          <cell r="I120">
            <v>8.4108390133051398E-4</v>
          </cell>
          <cell r="J120"/>
          <cell r="K120"/>
        </row>
        <row r="121">
          <cell r="A121" t="str">
            <v>RHEM-SHLTHCHPWOD</v>
          </cell>
          <cell r="B121" t="str">
            <v>VAR_cap</v>
          </cell>
          <cell r="C121" t="str">
            <v>-</v>
          </cell>
          <cell r="D121"/>
          <cell r="E121"/>
          <cell r="F121"/>
          <cell r="G121">
            <v>5.1649989603862201E-4</v>
          </cell>
          <cell r="H121">
            <v>3.5289298252619799E-3</v>
          </cell>
          <cell r="I121">
            <v>1.5389000800044902E-3</v>
          </cell>
          <cell r="J121"/>
          <cell r="K121"/>
        </row>
        <row r="122">
          <cell r="A122" t="str">
            <v>D-RHEM_LTH_CHPWOD</v>
          </cell>
          <cell r="B122" t="str">
            <v>VAR_fout</v>
          </cell>
          <cell r="C122" t="str">
            <v>RHEM_LTH_CHPWOD_ON</v>
          </cell>
          <cell r="D122">
            <v>3.6424926343469822E-5</v>
          </cell>
          <cell r="E122">
            <v>5.6668467048955148E-5</v>
          </cell>
          <cell r="F122">
            <v>8.0634611137630689E-6</v>
          </cell>
          <cell r="G122">
            <v>1.9364365537989764E-3</v>
          </cell>
          <cell r="H122">
            <v>4.5610429437644547E-2</v>
          </cell>
          <cell r="I122"/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RHSA_LTH</v>
          </cell>
          <cell r="D123">
            <v>8.8471445613671478E-5</v>
          </cell>
          <cell r="E123">
            <v>8.7348091469692529E-5</v>
          </cell>
          <cell r="F123">
            <v>4.1696894258905657E-5</v>
          </cell>
          <cell r="G123">
            <v>2.9924769871106224E-3</v>
          </cell>
          <cell r="H123">
            <v>6.4190026746994578E-3</v>
          </cell>
          <cell r="I123">
            <v>2.6404023180337365E-2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LTH</v>
          </cell>
          <cell r="D124"/>
          <cell r="E124">
            <v>3.115665658903867E-6</v>
          </cell>
          <cell r="F124">
            <v>3.1445067644088794E-6</v>
          </cell>
          <cell r="G124">
            <v>2.837687860307979E-6</v>
          </cell>
          <cell r="H124">
            <v>6.6155686720010059E-5</v>
          </cell>
          <cell r="I124">
            <v>4.9809900611453107E-5</v>
          </cell>
          <cell r="J124"/>
          <cell r="K124"/>
        </row>
        <row r="125">
          <cell r="A125" t="str">
            <v>D-RHEM_LTH_CHPWOD</v>
          </cell>
          <cell r="B125" t="str">
            <v>VAR_fin</v>
          </cell>
          <cell r="C125" t="str">
            <v>RHEM_LTH_CHPWOD</v>
          </cell>
          <cell r="D125">
            <v>1.2489637195714135E-4</v>
          </cell>
          <cell r="E125">
            <v>1.4713222417755154E-4</v>
          </cell>
          <cell r="F125">
            <v>5.290486213707761E-5</v>
          </cell>
          <cell r="G125">
            <v>4.9322557592055396E-3</v>
          </cell>
          <cell r="H125">
            <v>5.2095587799064015E-2</v>
          </cell>
          <cell r="I125">
            <v>2.6453833080948799E-2</v>
          </cell>
          <cell r="J125"/>
          <cell r="K125"/>
        </row>
        <row r="126">
          <cell r="A126" t="str">
            <v>RHES-SHLTHDH</v>
          </cell>
          <cell r="B126" t="str">
            <v>VAR_fout</v>
          </cell>
          <cell r="C126" t="str">
            <v>RHES-SHLTHD</v>
          </cell>
          <cell r="D126">
            <v>3.0903843337652903</v>
          </cell>
          <cell r="E126">
            <v>3.5038347756488828</v>
          </cell>
          <cell r="F126">
            <v>1.8074398426923424</v>
          </cell>
          <cell r="G126">
            <v>1.8495233990417776</v>
          </cell>
          <cell r="H126">
            <v>2.1444952763760297</v>
          </cell>
          <cell r="I126">
            <v>2.3154640636034434</v>
          </cell>
          <cell r="J126"/>
          <cell r="K126"/>
        </row>
        <row r="127">
          <cell r="A127" t="str">
            <v>RHES-SHLTHDH</v>
          </cell>
          <cell r="B127" t="str">
            <v>VAR_fin</v>
          </cell>
          <cell r="C127" t="str">
            <v>RHESLTHDHC</v>
          </cell>
          <cell r="D127">
            <v>3.0903843337652903</v>
          </cell>
          <cell r="E127">
            <v>3.5038347756488828</v>
          </cell>
          <cell r="F127">
            <v>1.8074398426923424</v>
          </cell>
          <cell r="G127">
            <v>1.8495233990417776</v>
          </cell>
          <cell r="H127">
            <v>2.1444952763760297</v>
          </cell>
          <cell r="I127">
            <v>2.3154640636034434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RHES_LTH_DH</v>
          </cell>
          <cell r="D128">
            <v>3.1216003371366563</v>
          </cell>
          <cell r="E128">
            <v>3.5392270461099855</v>
          </cell>
          <cell r="F128">
            <v>2.0264377018483946</v>
          </cell>
          <cell r="G128">
            <v>2.0736185833943077</v>
          </cell>
          <cell r="H128">
            <v>2.3941010559327194</v>
          </cell>
          <cell r="I128">
            <v>2.5716899763375864</v>
          </cell>
          <cell r="J128"/>
          <cell r="K128"/>
        </row>
        <row r="129">
          <cell r="A129" t="str">
            <v>RHES-SHLTHDH</v>
          </cell>
          <cell r="B129" t="str">
            <v>VAR_ncap</v>
          </cell>
          <cell r="C129" t="str">
            <v>-</v>
          </cell>
          <cell r="D129"/>
          <cell r="E129">
            <v>0.16456049506661299</v>
          </cell>
          <cell r="F129">
            <v>8.0498865463082103E-2</v>
          </cell>
          <cell r="G129">
            <v>7.7907207178690194E-2</v>
          </cell>
          <cell r="H129">
            <v>8.7976274153580697E-2</v>
          </cell>
          <cell r="I129">
            <v>0.102092686915267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VAR_cap</v>
          </cell>
          <cell r="C130" t="str">
            <v>-</v>
          </cell>
          <cell r="D130">
            <v>0.31204626794151202</v>
          </cell>
          <cell r="E130">
            <v>0.29587107836082899</v>
          </cell>
          <cell r="F130">
            <v>0.17314823673819901</v>
          </cell>
          <cell r="G130">
            <v>0.17474381489187707</v>
          </cell>
          <cell r="H130">
            <v>0.18593066330500707</v>
          </cell>
          <cell r="I130">
            <v>0.20021156578725496</v>
          </cell>
          <cell r="J130"/>
          <cell r="K130"/>
        </row>
        <row r="131">
          <cell r="A131" t="str">
            <v>RHEM-SHCONBR3</v>
          </cell>
          <cell r="B131" t="str">
            <v>VAR_fout</v>
          </cell>
          <cell r="C131" t="str">
            <v>RHEM-SHCON</v>
          </cell>
          <cell r="D131">
            <v>3.6146914801395452E-2</v>
          </cell>
          <cell r="E131">
            <v>0.97630804944865357</v>
          </cell>
          <cell r="F131">
            <v>0.66883610078368227</v>
          </cell>
          <cell r="G131">
            <v>0.97533295326880176</v>
          </cell>
          <cell r="H131">
            <v>2.7585653874701159</v>
          </cell>
          <cell r="I131">
            <v>4.8410476475650999</v>
          </cell>
          <cell r="J131"/>
        </row>
        <row r="132">
          <cell r="A132" t="str">
            <v>RHEM-SHCONBR3</v>
          </cell>
          <cell r="B132" t="str">
            <v>VAR_fin</v>
          </cell>
          <cell r="C132" t="str">
            <v>CON</v>
          </cell>
          <cell r="D132">
            <v>3.6146914801395452E-2</v>
          </cell>
          <cell r="E132">
            <v>0.97630804944865357</v>
          </cell>
          <cell r="F132">
            <v>0.66883610078368227</v>
          </cell>
          <cell r="G132">
            <v>0.97533295326880176</v>
          </cell>
          <cell r="H132">
            <v>2.7585653874701159</v>
          </cell>
          <cell r="I132">
            <v>4.8410476475650999</v>
          </cell>
          <cell r="J132"/>
          <cell r="K132"/>
        </row>
        <row r="133">
          <cell r="A133" t="str">
            <v>RHEM-SHCONBR3</v>
          </cell>
          <cell r="B133" t="str">
            <v>VAR_ncap</v>
          </cell>
          <cell r="C133" t="str">
            <v>-</v>
          </cell>
          <cell r="D133">
            <v>3.4481463854283502E-2</v>
          </cell>
          <cell r="E133">
            <v>3.4480354873187902E-2</v>
          </cell>
          <cell r="F133">
            <v>1.98988573316745E-6</v>
          </cell>
          <cell r="G133">
            <v>2.6597676999527898E-6</v>
          </cell>
          <cell r="H133">
            <v>0.125950082731071</v>
          </cell>
          <cell r="I133">
            <v>0.178701856402565</v>
          </cell>
          <cell r="J133"/>
        </row>
        <row r="134">
          <cell r="A134" t="str">
            <v>RHEM-SHCONBR3</v>
          </cell>
          <cell r="B134" t="str">
            <v>VAR_cap</v>
          </cell>
          <cell r="C134" t="str">
            <v>-</v>
          </cell>
          <cell r="D134">
            <v>3.4481463854283502E-2</v>
          </cell>
          <cell r="E134">
            <v>6.896169017600251E-2</v>
          </cell>
          <cell r="F134">
            <v>6.8961710758849062E-2</v>
          </cell>
          <cell r="G134">
            <v>6.896536390528242E-2</v>
          </cell>
          <cell r="H134">
            <v>0.19493169473073904</v>
          </cell>
          <cell r="I134">
            <v>0.34189827990442107</v>
          </cell>
          <cell r="J134"/>
          <cell r="K134"/>
        </row>
        <row r="135">
          <cell r="A135" t="str">
            <v>D-RHSA_ELC</v>
          </cell>
          <cell r="B135" t="str">
            <v>VAR_fout</v>
          </cell>
          <cell r="C135" t="str">
            <v>RHSA_ELC</v>
          </cell>
          <cell r="D135">
            <v>58.688866504937828</v>
          </cell>
          <cell r="E135">
            <v>55.141867749608735</v>
          </cell>
          <cell r="F135">
            <v>57.151575298703101</v>
          </cell>
          <cell r="G135">
            <v>53.081638742850203</v>
          </cell>
          <cell r="H135">
            <v>58.749555048143698</v>
          </cell>
          <cell r="I135">
            <v>62.178936240583937</v>
          </cell>
          <cell r="J135"/>
        </row>
        <row r="136">
          <cell r="A136" t="str">
            <v>D-RHSA_ELC</v>
          </cell>
          <cell r="B136" t="str">
            <v>VAR_fin</v>
          </cell>
          <cell r="C136" t="str">
            <v>RHNS_ELC</v>
          </cell>
          <cell r="D136">
            <v>13.166138137446966</v>
          </cell>
          <cell r="E136">
            <v>14.754855958670474</v>
          </cell>
          <cell r="F136">
            <v>14.868746040352065</v>
          </cell>
          <cell r="G136">
            <v>13.982357749304668</v>
          </cell>
          <cell r="H136">
            <v>15.475141889494624</v>
          </cell>
          <cell r="I136">
            <v>16.157572865301109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RHES_ELC</v>
          </cell>
          <cell r="D137">
            <v>16.925117173977917</v>
          </cell>
          <cell r="E137">
            <v>12.669293035227152</v>
          </cell>
          <cell r="F137">
            <v>13.054774839990351</v>
          </cell>
          <cell r="G137">
            <v>12.124561164308259</v>
          </cell>
          <cell r="H137">
            <v>13.254146415287705</v>
          </cell>
          <cell r="I137">
            <v>14.080686267182621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RHNM_ELC</v>
          </cell>
          <cell r="D138">
            <v>12.196602451668369</v>
          </cell>
          <cell r="E138">
            <v>14.734192928889687</v>
          </cell>
          <cell r="F138">
            <v>15.317732895102782</v>
          </cell>
          <cell r="G138">
            <v>14.477283766906424</v>
          </cell>
          <cell r="H138">
            <v>16.149361101318188</v>
          </cell>
          <cell r="I138">
            <v>16.905876215806281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RHEM_ELC</v>
          </cell>
          <cell r="D139">
            <v>16.401179959261569</v>
          </cell>
          <cell r="E139">
            <v>12.983589354724687</v>
          </cell>
          <cell r="F139">
            <v>13.910321523257883</v>
          </cell>
          <cell r="G139">
            <v>12.497436062330847</v>
          </cell>
          <cell r="H139">
            <v>13.870905642043219</v>
          </cell>
          <cell r="I139">
            <v>15.03480089229393</v>
          </cell>
          <cell r="J139"/>
          <cell r="K139"/>
        </row>
        <row r="140">
          <cell r="A140" t="str">
            <v>SCOM-SHLTHDH</v>
          </cell>
          <cell r="B140" t="str">
            <v>VAR_fout</v>
          </cell>
          <cell r="C140" t="str">
            <v>SCOM-SHLTHD</v>
          </cell>
          <cell r="D140">
            <v>5.553922903119731</v>
          </cell>
          <cell r="E140">
            <v>6.0159505969168121</v>
          </cell>
          <cell r="F140">
            <v>5.5804921272422003</v>
          </cell>
          <cell r="G140">
            <v>5.7148663010561327</v>
          </cell>
          <cell r="H140">
            <v>6.5643850016945278</v>
          </cell>
          <cell r="I140">
            <v>6.8971600786518277</v>
          </cell>
          <cell r="J140"/>
        </row>
        <row r="141">
          <cell r="A141" t="str">
            <v>SCOM-SHLTHDH</v>
          </cell>
          <cell r="B141" t="str">
            <v>VAR_fin</v>
          </cell>
          <cell r="C141" t="str">
            <v>SCOMLTHDHC</v>
          </cell>
          <cell r="D141">
            <v>5.553922903119731</v>
          </cell>
          <cell r="E141">
            <v>6.0159505969168121</v>
          </cell>
          <cell r="F141">
            <v>5.5804921272422003</v>
          </cell>
          <cell r="G141">
            <v>5.7148663010561327</v>
          </cell>
          <cell r="H141">
            <v>6.5643850016945278</v>
          </cell>
          <cell r="I141">
            <v>6.8971600786518277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SCOM_LTH_DH</v>
          </cell>
          <cell r="D142">
            <v>5.6100231344643738</v>
          </cell>
          <cell r="E142">
            <v>6.076717774663452</v>
          </cell>
          <cell r="F142">
            <v>6.7756275836740061</v>
          </cell>
          <cell r="G142">
            <v>6.9260516407518438</v>
          </cell>
          <cell r="H142">
            <v>7.9556138527879359</v>
          </cell>
          <cell r="I142">
            <v>8.3589159155738049</v>
          </cell>
          <cell r="J142"/>
          <cell r="K142"/>
        </row>
        <row r="143">
          <cell r="A143" t="str">
            <v>SCOM-SHLTHDH</v>
          </cell>
          <cell r="B143" t="str">
            <v>VAR_ncap</v>
          </cell>
          <cell r="C143" t="str">
            <v>-</v>
          </cell>
          <cell r="D143">
            <v>2.3067102755592499E-7</v>
          </cell>
          <cell r="E143">
            <v>0.298584668729521</v>
          </cell>
          <cell r="F143">
            <v>0.266845425276316</v>
          </cell>
          <cell r="G143">
            <v>0.253607605803845</v>
          </cell>
          <cell r="H143">
            <v>0.403538529702194</v>
          </cell>
          <cell r="I143">
            <v>0.53696937237436204</v>
          </cell>
          <cell r="J143"/>
          <cell r="K143"/>
        </row>
        <row r="144">
          <cell r="A144" t="str">
            <v>SCOM-SHLTHDH</v>
          </cell>
          <cell r="B144" t="str">
            <v>VAR_cap</v>
          </cell>
          <cell r="C144" t="str">
            <v>-</v>
          </cell>
          <cell r="D144">
            <v>0.84970048360123251</v>
          </cell>
          <cell r="E144">
            <v>0.844376508987984</v>
          </cell>
          <cell r="F144">
            <v>0.67833283418247614</v>
          </cell>
          <cell r="G144">
            <v>0.6589847740659851</v>
          </cell>
          <cell r="H144">
            <v>0.84966856144650993</v>
          </cell>
          <cell r="I144">
            <v>0.84970020656712697</v>
          </cell>
          <cell r="J144"/>
          <cell r="K144"/>
        </row>
        <row r="145">
          <cell r="A145" t="str">
            <v>ITOT-SWHSTG-ELC</v>
          </cell>
          <cell r="B145" t="str">
            <v>VAR_fout</v>
          </cell>
          <cell r="C145" t="str">
            <v>ITOT-SWHAELC</v>
          </cell>
          <cell r="D145">
            <v>1.0386518469702423E-4</v>
          </cell>
          <cell r="E145">
            <v>1.0851845127942903E-4</v>
          </cell>
          <cell r="F145">
            <v>0.12392359645615089</v>
          </cell>
          <cell r="G145">
            <v>2.6876344954796037E-4</v>
          </cell>
          <cell r="H145">
            <v>1.273424884872705</v>
          </cell>
          <cell r="I145">
            <v>1.0462210830177849</v>
          </cell>
          <cell r="J145"/>
          <cell r="K145"/>
        </row>
        <row r="146">
          <cell r="A146" t="str">
            <v>ITOT-SWHSTG-ELC</v>
          </cell>
          <cell r="B146" t="str">
            <v>VAR_fin</v>
          </cell>
          <cell r="C146" t="str">
            <v>ITOT-SWHAELC</v>
          </cell>
          <cell r="D146">
            <v>9.8255928992787306E-5</v>
          </cell>
          <cell r="E146">
            <v>6.9132434844683361E-5</v>
          </cell>
          <cell r="F146">
            <v>0.15990127554064668</v>
          </cell>
          <cell r="G146">
            <v>3.5469968426171851E-4</v>
          </cell>
          <cell r="H146">
            <v>1.4982656890586403</v>
          </cell>
          <cell r="I146">
            <v>1.162550031783443</v>
          </cell>
          <cell r="J146"/>
          <cell r="K146"/>
        </row>
        <row r="147">
          <cell r="A147" t="str">
            <v>ITOT-SWHSTG-ELC</v>
          </cell>
          <cell r="B147" t="str">
            <v>VAR_ncap</v>
          </cell>
          <cell r="C147" t="str">
            <v>-</v>
          </cell>
          <cell r="D147">
            <v>1.7106695263262601E-2</v>
          </cell>
          <cell r="E147">
            <v>0.158239643715373</v>
          </cell>
          <cell r="F147">
            <v>2.0336610158259601E-2</v>
          </cell>
          <cell r="G147">
            <v>2.4478481911507298E-4</v>
          </cell>
          <cell r="H147">
            <v>0.156154039290925</v>
          </cell>
          <cell r="I147">
            <v>8.6822058121794707E-2</v>
          </cell>
          <cell r="J147"/>
          <cell r="K147"/>
        </row>
        <row r="148">
          <cell r="A148" t="str">
            <v>ITOT-SWHSTG-ELC</v>
          </cell>
          <cell r="B148" t="str">
            <v>VAR_cap</v>
          </cell>
          <cell r="C148" t="str">
            <v>-</v>
          </cell>
          <cell r="D148">
            <v>1.7106695263262601E-2</v>
          </cell>
          <cell r="E148">
            <v>0.17530122249861674</v>
          </cell>
          <cell r="F148">
            <v>0.19562623375683325</v>
          </cell>
          <cell r="G148">
            <v>0.19582852355614658</v>
          </cell>
          <cell r="H148">
            <v>0.26523468686508761</v>
          </cell>
          <cell r="I148">
            <v>0.24466375894578271</v>
          </cell>
          <cell r="J148"/>
          <cell r="K148"/>
        </row>
        <row r="149">
          <cell r="A149" t="str">
            <v>D-SCOM_SOLELC</v>
          </cell>
          <cell r="B149" t="str">
            <v>VAR_fout</v>
          </cell>
          <cell r="C149" t="str">
            <v>ELC5</v>
          </cell>
          <cell r="D149">
            <v>1.038585382363038</v>
          </cell>
          <cell r="E149">
            <v>1.6425156829946033</v>
          </cell>
          <cell r="F149">
            <v>5.1941959988908151</v>
          </cell>
          <cell r="G149">
            <v>5.7981363698088897</v>
          </cell>
          <cell r="H149">
            <v>6.4408496677457387</v>
          </cell>
          <cell r="I149">
            <v>6.8847171217971317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SCOM_ELC</v>
          </cell>
          <cell r="D150">
            <v>1.8010383034089275</v>
          </cell>
          <cell r="E150">
            <v>1.651946658844262</v>
          </cell>
          <cell r="F150">
            <v>4.7706760743457295</v>
          </cell>
          <cell r="G150">
            <v>4.9377009106614018</v>
          </cell>
          <cell r="H150">
            <v>5.4193712372596972</v>
          </cell>
          <cell r="I150">
            <v>6.2169936216464485</v>
          </cell>
          <cell r="J150"/>
          <cell r="K150"/>
        </row>
        <row r="151">
          <cell r="A151" t="str">
            <v>D-SCOM_SOLELC</v>
          </cell>
          <cell r="B151" t="str">
            <v>VAR_fin</v>
          </cell>
          <cell r="C151" t="str">
            <v>SCOM_SOL_ELC</v>
          </cell>
          <cell r="D151">
            <v>2.8396236857719668</v>
          </cell>
          <cell r="E151">
            <v>3.2944551948993634</v>
          </cell>
          <cell r="F151">
            <v>9.9648527147553452</v>
          </cell>
          <cell r="G151">
            <v>10.735813466716973</v>
          </cell>
          <cell r="H151">
            <v>11.860184687220714</v>
          </cell>
          <cell r="I151">
            <v>13.101679566789995</v>
          </cell>
          <cell r="J151"/>
          <cell r="K151"/>
        </row>
        <row r="152">
          <cell r="A152" t="str">
            <v>D-ILFO</v>
          </cell>
          <cell r="B152" t="str">
            <v>VAR_fout</v>
          </cell>
          <cell r="C152" t="str">
            <v>CO2</v>
          </cell>
          <cell r="D152">
            <v>693.20191611779796</v>
          </cell>
          <cell r="E152">
            <v>659.57527017590303</v>
          </cell>
          <cell r="F152">
            <v>597.36194934803905</v>
          </cell>
          <cell r="G152">
            <v>369.813180616593</v>
          </cell>
          <cell r="H152">
            <v>287.566367649661</v>
          </cell>
          <cell r="I152">
            <v>7.9404661892663007E-3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ILFO</v>
          </cell>
          <cell r="D153">
            <v>9.2486382125413655</v>
          </cell>
          <cell r="E153">
            <v>8.7999944979371989</v>
          </cell>
          <cell r="F153">
            <v>7.9701300001254785</v>
          </cell>
          <cell r="G153">
            <v>4.9341952080588767</v>
          </cell>
          <cell r="H153">
            <v>6.3942932112602433</v>
          </cell>
          <cell r="I153">
            <v>2.557803791687856</v>
          </cell>
          <cell r="J153"/>
        </row>
        <row r="154">
          <cell r="A154" t="str">
            <v>D-ILFO</v>
          </cell>
          <cell r="B154" t="str">
            <v>VAR_fin</v>
          </cell>
          <cell r="C154" t="str">
            <v>LFO</v>
          </cell>
          <cell r="D154">
            <v>9.4057247777177526</v>
          </cell>
          <cell r="E154">
            <v>8.9494609250461643</v>
          </cell>
          <cell r="F154">
            <v>8.1053181729720318</v>
          </cell>
          <cell r="G154">
            <v>5.0178179188140195</v>
          </cell>
          <cell r="H154">
            <v>3.9018503073224071</v>
          </cell>
          <cell r="I154">
            <v>1.077403824866526E-4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BDS</v>
          </cell>
          <cell r="D155"/>
          <cell r="E155"/>
          <cell r="F155">
            <v>1.8314528234289487E-4</v>
          </cell>
          <cell r="G155">
            <v>1.8380051074561724E-4</v>
          </cell>
          <cell r="H155">
            <v>2.6012070699894672</v>
          </cell>
          <cell r="I155">
            <v>2.6011952319613512</v>
          </cell>
          <cell r="J155"/>
        </row>
        <row r="156">
          <cell r="A156" t="str">
            <v>RHEM-SHSTG-NGAHP</v>
          </cell>
          <cell r="B156" t="str">
            <v>VAR_fout</v>
          </cell>
          <cell r="C156" t="str">
            <v>RHEM-SHANGAH</v>
          </cell>
          <cell r="D156"/>
          <cell r="E156"/>
          <cell r="F156">
            <v>4.8498434008017788E-2</v>
          </cell>
          <cell r="G156">
            <v>9.251373318927951E-2</v>
          </cell>
          <cell r="H156">
            <v>9.0833748321361985E-2</v>
          </cell>
          <cell r="I156">
            <v>9.2875349454813697E-2</v>
          </cell>
          <cell r="J156"/>
          <cell r="K156"/>
        </row>
        <row r="157">
          <cell r="A157" t="str">
            <v>RHEM-SHSTG-NGAHP</v>
          </cell>
          <cell r="B157" t="str">
            <v>VAR_fin</v>
          </cell>
          <cell r="C157" t="str">
            <v>RHEM-SHANGAH</v>
          </cell>
          <cell r="D157"/>
          <cell r="E157"/>
          <cell r="F157">
            <v>4.8589288269238654E-2</v>
          </cell>
          <cell r="G157">
            <v>9.2581810319561045E-2</v>
          </cell>
          <cell r="H157">
            <v>9.0855600582860158E-2</v>
          </cell>
          <cell r="I157">
            <v>9.2929036683405658E-2</v>
          </cell>
          <cell r="J157"/>
        </row>
        <row r="158">
          <cell r="A158" t="str">
            <v>RHEM-SHSTG-NGAHP</v>
          </cell>
          <cell r="B158" t="str">
            <v>VAR_ncap</v>
          </cell>
          <cell r="C158" t="str">
            <v>-</v>
          </cell>
          <cell r="D158">
            <v>2.1000515965099799E-4</v>
          </cell>
          <cell r="E158">
            <v>3.2030094969626703E-5</v>
          </cell>
          <cell r="F158">
            <v>3.1656191540428702E-2</v>
          </cell>
          <cell r="G158">
            <v>5.1500722386076399E-2</v>
          </cell>
          <cell r="H158">
            <v>6.0143254818616702E-2</v>
          </cell>
          <cell r="I158">
            <v>3.99742081814808E-2</v>
          </cell>
          <cell r="J158"/>
        </row>
        <row r="159">
          <cell r="A159" t="str">
            <v>RHEM-SHSTG-NGAHP</v>
          </cell>
          <cell r="B159" t="str">
            <v>VAR_cap</v>
          </cell>
          <cell r="C159" t="str">
            <v>-</v>
          </cell>
          <cell r="D159">
            <v>2.1000515965099799E-4</v>
          </cell>
          <cell r="E159">
            <v>6.4272599429479832E-6</v>
          </cell>
          <cell r="F159">
            <v>3.1638951453388624E-2</v>
          </cell>
          <cell r="G159">
            <v>8.303586565374424E-2</v>
          </cell>
          <cell r="H159">
            <v>0.12565296072563717</v>
          </cell>
          <cell r="I159">
            <v>9.388693716669945E-2</v>
          </cell>
          <cell r="J159"/>
          <cell r="K159"/>
        </row>
        <row r="160">
          <cell r="A160" t="str">
            <v>RHEM-SHCONBR4</v>
          </cell>
          <cell r="B160" t="str">
            <v>VAR_fout</v>
          </cell>
          <cell r="C160" t="str">
            <v>RHEM-SHCON</v>
          </cell>
          <cell r="D160">
            <v>3.6798189866997497E-2</v>
          </cell>
          <cell r="E160">
            <v>1.0699919809276832</v>
          </cell>
          <cell r="F160">
            <v>0.72043678448810478</v>
          </cell>
          <cell r="G160">
            <v>1.069046738079251</v>
          </cell>
          <cell r="H160">
            <v>1.0685438707041361</v>
          </cell>
          <cell r="I160">
            <v>2.0314217640962817</v>
          </cell>
          <cell r="J160"/>
          <cell r="K160"/>
        </row>
        <row r="161">
          <cell r="A161" t="str">
            <v>RHEM-SHCONBR4</v>
          </cell>
          <cell r="B161" t="str">
            <v>VAR_fin</v>
          </cell>
          <cell r="C161" t="str">
            <v>CON</v>
          </cell>
          <cell r="D161">
            <v>3.6798189866997497E-2</v>
          </cell>
          <cell r="E161">
            <v>1.0699919809276832</v>
          </cell>
          <cell r="F161">
            <v>0.72043678448810478</v>
          </cell>
          <cell r="G161">
            <v>1.069046738079251</v>
          </cell>
          <cell r="H161">
            <v>1.0685438707041361</v>
          </cell>
          <cell r="I161">
            <v>2.0314217640962817</v>
          </cell>
          <cell r="J161"/>
          <cell r="K161"/>
        </row>
        <row r="162">
          <cell r="A162" t="str">
            <v>RHEM-SHCONBR4</v>
          </cell>
          <cell r="B162" t="str">
            <v>VAR_ncap</v>
          </cell>
          <cell r="C162" t="str">
            <v>-</v>
          </cell>
          <cell r="D162">
            <v>3.77172991221814E-2</v>
          </cell>
          <cell r="E162">
            <v>3.7858541811234603E-2</v>
          </cell>
          <cell r="F162">
            <v>1.06076783131533E-6</v>
          </cell>
          <cell r="G162">
            <v>1.3628866174218601E-6</v>
          </cell>
          <cell r="H162">
            <v>2.8742520824841799E-6</v>
          </cell>
          <cell r="I162">
            <v>0.102686320750489</v>
          </cell>
          <cell r="J162"/>
        </row>
        <row r="163">
          <cell r="A163" t="str">
            <v>RHEM-SHCONBR4</v>
          </cell>
          <cell r="B163" t="str">
            <v>VAR_cap</v>
          </cell>
          <cell r="C163" t="str">
            <v>-</v>
          </cell>
          <cell r="D163">
            <v>3.77172991221814E-2</v>
          </cell>
          <cell r="E163">
            <v>7.5575716078018162E-2</v>
          </cell>
          <cell r="F163">
            <v>7.5574868015989755E-2</v>
          </cell>
          <cell r="G163">
            <v>7.5577213496498263E-2</v>
          </cell>
          <cell r="H163">
            <v>7.558236715751343E-2</v>
          </cell>
          <cell r="I163">
            <v>0.14349533338933573</v>
          </cell>
          <cell r="J163"/>
        </row>
        <row r="164">
          <cell r="A164" t="str">
            <v>RHNM-SHCONBR</v>
          </cell>
          <cell r="B164" t="str">
            <v>VAR_fout</v>
          </cell>
          <cell r="C164" t="str">
            <v>RHNM-SHCON</v>
          </cell>
          <cell r="D164"/>
          <cell r="E164"/>
          <cell r="F164">
            <v>1.7794771406682747E-2</v>
          </cell>
          <cell r="G164">
            <v>0.12735734740581964</v>
          </cell>
          <cell r="H164">
            <v>0.12625392666464494</v>
          </cell>
          <cell r="I164">
            <v>0.12671210632774302</v>
          </cell>
          <cell r="J164"/>
          <cell r="K164"/>
        </row>
        <row r="165">
          <cell r="A165" t="str">
            <v>RHNM-SHCONBR</v>
          </cell>
          <cell r="B165" t="str">
            <v>VAR_fin</v>
          </cell>
          <cell r="C165" t="str">
            <v>CON</v>
          </cell>
          <cell r="D165"/>
          <cell r="E165"/>
          <cell r="F165">
            <v>1.7794771406682747E-2</v>
          </cell>
          <cell r="G165">
            <v>0.12735734740581964</v>
          </cell>
          <cell r="H165">
            <v>0.12625392666464494</v>
          </cell>
          <cell r="I165">
            <v>0.12671210632774302</v>
          </cell>
          <cell r="J165"/>
        </row>
        <row r="166">
          <cell r="A166" t="str">
            <v>RHNM-SHCONBR</v>
          </cell>
          <cell r="B166" t="str">
            <v>VAR_ncap</v>
          </cell>
          <cell r="C166" t="str">
            <v>-</v>
          </cell>
          <cell r="D166"/>
          <cell r="E166">
            <v>4.4562571798415602E-7</v>
          </cell>
          <cell r="F166">
            <v>1.46560433733146E-3</v>
          </cell>
          <cell r="G166">
            <v>8.4359272693164608E-3</v>
          </cell>
          <cell r="H166">
            <v>5.0981247374200902E-7</v>
          </cell>
          <cell r="I166">
            <v>3.20899221050871E-7</v>
          </cell>
          <cell r="J166"/>
          <cell r="K166"/>
        </row>
        <row r="167">
          <cell r="A167" t="str">
            <v>RHNM-SHCONBR</v>
          </cell>
          <cell r="B167" t="str">
            <v>VAR_cap</v>
          </cell>
          <cell r="C167" t="str">
            <v>-</v>
          </cell>
          <cell r="D167"/>
          <cell r="E167">
            <v>4.4562571798415602E-7</v>
          </cell>
          <cell r="F167">
            <v>1.4657516373298646E-3</v>
          </cell>
          <cell r="G167">
            <v>9.9016975102930518E-3</v>
          </cell>
          <cell r="H167">
            <v>9.9018540172489313E-3</v>
          </cell>
          <cell r="I167">
            <v>9.9035940666637821E-3</v>
          </cell>
          <cell r="J167"/>
          <cell r="K167"/>
        </row>
        <row r="168">
          <cell r="A168" t="str">
            <v>RHEM-SHCONBR5</v>
          </cell>
          <cell r="B168" t="str">
            <v>VAR_fout</v>
          </cell>
          <cell r="C168" t="str">
            <v>RHEM-SHCON</v>
          </cell>
          <cell r="D168">
            <v>4.3511338563331746E-3</v>
          </cell>
          <cell r="E168">
            <v>0.32287099623401622</v>
          </cell>
          <cell r="F168">
            <v>0.19165626392186053</v>
          </cell>
          <cell r="G168">
            <v>0.32196667243631749</v>
          </cell>
          <cell r="H168">
            <v>0.32148896508290209</v>
          </cell>
          <cell r="I168">
            <v>0.18608543743628742</v>
          </cell>
          <cell r="J168"/>
        </row>
        <row r="169">
          <cell r="A169" t="str">
            <v>RHEM-SHCONBR5</v>
          </cell>
          <cell r="B169" t="str">
            <v>VAR_fin</v>
          </cell>
          <cell r="C169" t="str">
            <v>CON</v>
          </cell>
          <cell r="D169">
            <v>4.3511338563331746E-3</v>
          </cell>
          <cell r="E169">
            <v>0.32287099623401622</v>
          </cell>
          <cell r="F169">
            <v>0.19165626392186053</v>
          </cell>
          <cell r="G169">
            <v>0.32196667243631749</v>
          </cell>
          <cell r="H169">
            <v>0.32148896508290209</v>
          </cell>
          <cell r="I169">
            <v>0.18608543743628742</v>
          </cell>
          <cell r="J169"/>
          <cell r="K169"/>
        </row>
        <row r="170">
          <cell r="A170" t="str">
            <v>RHEM-SHCONBR5</v>
          </cell>
          <cell r="B170" t="str">
            <v>VAR_ncap</v>
          </cell>
          <cell r="C170" t="str">
            <v>-</v>
          </cell>
          <cell r="D170">
            <v>5.2317432129516696E-4</v>
          </cell>
          <cell r="E170">
            <v>2.22950091633165E-2</v>
          </cell>
          <cell r="F170">
            <v>1.0055873541799001E-6</v>
          </cell>
          <cell r="G170">
            <v>1.2955321434467399E-6</v>
          </cell>
          <cell r="H170">
            <v>2.9155184500717298E-6</v>
          </cell>
          <cell r="I170">
            <v>2.8123767419110699E-5</v>
          </cell>
          <cell r="J170"/>
        </row>
        <row r="171">
          <cell r="A171" t="str">
            <v>RHEM-SHCONBR5</v>
          </cell>
          <cell r="B171" t="str">
            <v>VAR_cap</v>
          </cell>
          <cell r="C171" t="str">
            <v>-</v>
          </cell>
          <cell r="D171">
            <v>5.2317432129516696E-4</v>
          </cell>
          <cell r="E171">
            <v>2.2818060822032898E-2</v>
          </cell>
          <cell r="F171">
            <v>2.281723816274419E-2</v>
          </cell>
          <cell r="G171">
            <v>2.2819463415890213E-2</v>
          </cell>
          <cell r="H171">
            <v>2.2824339747718858E-2</v>
          </cell>
          <cell r="I171">
            <v>1.31864042380985E-2</v>
          </cell>
          <cell r="J171"/>
        </row>
        <row r="172">
          <cell r="A172" t="str">
            <v>ITOT-SWHNGABR</v>
          </cell>
          <cell r="B172" t="str">
            <v>VAR_fout</v>
          </cell>
          <cell r="C172" t="str">
            <v>ITOT-SWH</v>
          </cell>
          <cell r="D172">
            <v>28.619789461192788</v>
          </cell>
          <cell r="E172">
            <v>24.451693977548299</v>
          </cell>
          <cell r="F172">
            <v>24.774321886299404</v>
          </cell>
          <cell r="G172">
            <v>9.8281653781179656</v>
          </cell>
          <cell r="H172">
            <v>4.3948531768522141</v>
          </cell>
          <cell r="I172">
            <v>2.2736637696590143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CO2_I</v>
          </cell>
          <cell r="D173">
            <v>2005.1545916166899</v>
          </cell>
          <cell r="E173">
            <v>1711.63202741947</v>
          </cell>
          <cell r="F173">
            <v>1731.94417692661</v>
          </cell>
          <cell r="G173">
            <v>685.57871827487099</v>
          </cell>
          <cell r="H173">
            <v>305.23964130644998</v>
          </cell>
          <cell r="I173">
            <v>157.23262744743201</v>
          </cell>
          <cell r="J173"/>
        </row>
        <row r="174">
          <cell r="A174" t="str">
            <v>ITOT-SWHNGABR</v>
          </cell>
          <cell r="B174" t="str">
            <v>VAR_fin</v>
          </cell>
          <cell r="C174" t="str">
            <v>INGA</v>
          </cell>
          <cell r="D174">
            <v>35.552386376182497</v>
          </cell>
          <cell r="E174">
            <v>30.3480855925438</v>
          </cell>
          <cell r="F174">
            <v>30.708230087351168</v>
          </cell>
          <cell r="G174">
            <v>12.155651033242403</v>
          </cell>
          <cell r="H174">
            <v>5.4120503777739382</v>
          </cell>
          <cell r="I174">
            <v>2.7878125433941774</v>
          </cell>
          <cell r="J174"/>
        </row>
        <row r="175">
          <cell r="A175" t="str">
            <v>ITOT-SWHNGABR</v>
          </cell>
          <cell r="B175" t="str">
            <v>VAR_ncap</v>
          </cell>
          <cell r="C175" t="str">
            <v>-</v>
          </cell>
          <cell r="D175"/>
          <cell r="E175">
            <v>7.0357983494311104E-4</v>
          </cell>
          <cell r="F175">
            <v>3.7344686037792802E-4</v>
          </cell>
          <cell r="G175">
            <v>2.99614559956434E-4</v>
          </cell>
          <cell r="H175">
            <v>0.147765779106726</v>
          </cell>
          <cell r="I175">
            <v>7.9107657055951006E-2</v>
          </cell>
          <cell r="J175"/>
        </row>
        <row r="176">
          <cell r="A176" t="str">
            <v>ITOT-SWHNGABR</v>
          </cell>
          <cell r="B176" t="str">
            <v>VAR_cap</v>
          </cell>
          <cell r="C176" t="str">
            <v>-</v>
          </cell>
          <cell r="D176">
            <v>1.556581895256</v>
          </cell>
          <cell r="E176">
            <v>1.5569488732877572</v>
          </cell>
          <cell r="F176">
            <v>1.5565811813279742</v>
          </cell>
          <cell r="G176">
            <v>0.69957563741281337</v>
          </cell>
          <cell r="H176">
            <v>0.30934040955836772</v>
          </cell>
          <cell r="I176">
            <v>0.16886802852145708</v>
          </cell>
          <cell r="J176"/>
        </row>
        <row r="177">
          <cell r="A177" t="str">
            <v>RHNM-SHSOLBR</v>
          </cell>
          <cell r="B177" t="str">
            <v>VAR_fout</v>
          </cell>
          <cell r="C177" t="str">
            <v>RHNM-SHASOL</v>
          </cell>
          <cell r="D177"/>
          <cell r="E177">
            <v>2.1553712247661692E-2</v>
          </cell>
          <cell r="F177">
            <v>7.1285619757132339E-5</v>
          </cell>
          <cell r="G177">
            <v>5.5326498148522668E-4</v>
          </cell>
          <cell r="H177">
            <v>9.7371725354626062E-4</v>
          </cell>
          <cell r="I177">
            <v>1.3527242085291618E-3</v>
          </cell>
          <cell r="J177"/>
        </row>
        <row r="178">
          <cell r="A178" t="str">
            <v>RHNM-SHSOLBR</v>
          </cell>
          <cell r="B178" t="str">
            <v>VAR_fin</v>
          </cell>
          <cell r="C178" t="str">
            <v>SOL</v>
          </cell>
          <cell r="D178"/>
          <cell r="E178">
            <v>2.1553712247661692E-2</v>
          </cell>
          <cell r="F178">
            <v>7.1285619757132339E-5</v>
          </cell>
          <cell r="G178">
            <v>5.5326498148522668E-4</v>
          </cell>
          <cell r="H178">
            <v>9.7371725354626062E-4</v>
          </cell>
          <cell r="I178">
            <v>1.3527242085291618E-3</v>
          </cell>
          <cell r="J178"/>
        </row>
        <row r="179">
          <cell r="A179" t="str">
            <v>RHNM-SHSOLBR</v>
          </cell>
          <cell r="B179" t="str">
            <v>VAR_ncap</v>
          </cell>
          <cell r="C179" t="str">
            <v>-</v>
          </cell>
          <cell r="D179"/>
          <cell r="E179">
            <v>4.2759330478669899E-3</v>
          </cell>
          <cell r="F179">
            <v>7.3794948186386495E-5</v>
          </cell>
          <cell r="G179">
            <v>1.28806869201364E-5</v>
          </cell>
          <cell r="H179">
            <v>2.4932840667370999E-3</v>
          </cell>
          <cell r="I179">
            <v>1.60294866450034E-3</v>
          </cell>
          <cell r="J179"/>
        </row>
        <row r="180">
          <cell r="A180" t="str">
            <v>RHNM-SHSOLBR</v>
          </cell>
          <cell r="B180" t="str">
            <v>VAR_cap</v>
          </cell>
          <cell r="C180" t="str">
            <v>-</v>
          </cell>
          <cell r="D180"/>
          <cell r="E180">
            <v>4.2759330478669899E-3</v>
          </cell>
          <cell r="F180">
            <v>4.344800650413286E-3</v>
          </cell>
          <cell r="G180">
            <v>4.3529702653829832E-3</v>
          </cell>
          <cell r="H180">
            <v>4.103847515902666E-3</v>
          </cell>
          <cell r="I180">
            <v>4.0770634278806395E-3</v>
          </cell>
          <cell r="J180"/>
          <cell r="K180"/>
          <cell r="L180"/>
        </row>
        <row r="181">
          <cell r="A181" t="str">
            <v>RHEM-SHPLTBR</v>
          </cell>
          <cell r="B181" t="str">
            <v>VAR_fout</v>
          </cell>
          <cell r="C181" t="str">
            <v>RHEM-SHPLT</v>
          </cell>
          <cell r="D181">
            <v>1.4011409078703898</v>
          </cell>
          <cell r="E181">
            <v>1.6078012191260793</v>
          </cell>
          <cell r="F181">
            <v>0.16103275511863835</v>
          </cell>
          <cell r="G181">
            <v>0.13918481274506631</v>
          </cell>
          <cell r="H181">
            <v>7.971165757348829E-2</v>
          </cell>
          <cell r="I181">
            <v>2.8616155263832346E-2</v>
          </cell>
          <cell r="J181"/>
        </row>
        <row r="182">
          <cell r="A182" t="str">
            <v>RHEM-SHPLTBR</v>
          </cell>
          <cell r="B182" t="str">
            <v>VAR_fin</v>
          </cell>
          <cell r="C182" t="str">
            <v>RHEMPLTBRC</v>
          </cell>
          <cell r="D182">
            <v>1.4011409078703898</v>
          </cell>
          <cell r="E182">
            <v>1.6078012191260793</v>
          </cell>
          <cell r="F182">
            <v>0.16103275511863835</v>
          </cell>
          <cell r="G182">
            <v>0.13918481274506631</v>
          </cell>
          <cell r="H182">
            <v>7.971165757348829E-2</v>
          </cell>
          <cell r="I182">
            <v>2.8616155263832346E-2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RPLT</v>
          </cell>
          <cell r="D183">
            <v>1.5568232309670984</v>
          </cell>
          <cell r="E183">
            <v>1.7864457990289786</v>
          </cell>
          <cell r="F183">
            <v>0.22269027591491999</v>
          </cell>
          <cell r="G183">
            <v>0.19247701705488496</v>
          </cell>
          <cell r="H183">
            <v>0.11023230028945324</v>
          </cell>
          <cell r="I183">
            <v>3.8443289636405309E-2</v>
          </cell>
          <cell r="J183"/>
        </row>
        <row r="184">
          <cell r="A184" t="str">
            <v>RHEM-SHPLTBR</v>
          </cell>
          <cell r="B184" t="str">
            <v>VAR_ncap</v>
          </cell>
          <cell r="C184" t="str">
            <v>-</v>
          </cell>
          <cell r="D184">
            <v>1.51749974921719E-4</v>
          </cell>
          <cell r="E184">
            <v>1.46778603778957E-2</v>
          </cell>
          <cell r="F184">
            <v>1.87863870578094E-6</v>
          </cell>
          <cell r="G184">
            <v>3.4649116591613501E-6</v>
          </cell>
          <cell r="H184">
            <v>5.1183844149361403E-3</v>
          </cell>
          <cell r="I184">
            <v>1.0421004865047499E-6</v>
          </cell>
          <cell r="J184"/>
        </row>
        <row r="185">
          <cell r="A185" t="str">
            <v>RHEM-SHPLTBR</v>
          </cell>
          <cell r="B185" t="str">
            <v>VAR_cap</v>
          </cell>
          <cell r="C185" t="str">
            <v>-</v>
          </cell>
          <cell r="D185">
            <v>9.9850806095202319E-2</v>
          </cell>
          <cell r="E185">
            <v>0.11452801177300101</v>
          </cell>
          <cell r="F185">
            <v>1.8188873762321894E-2</v>
          </cell>
          <cell r="G185">
            <v>1.67420489772903E-2</v>
          </cell>
          <cell r="H185">
            <v>5.78762045938069E-3</v>
          </cell>
          <cell r="I185">
            <v>3.3451721093137117E-3</v>
          </cell>
          <cell r="J185"/>
        </row>
        <row r="186">
          <cell r="A186" t="str">
            <v>RHEM-SHCONBR6</v>
          </cell>
          <cell r="B186" t="str">
            <v>VAR_fout</v>
          </cell>
          <cell r="C186" t="str">
            <v>RHEM-SHCON</v>
          </cell>
          <cell r="D186"/>
          <cell r="E186">
            <v>6.8568990310146714E-3</v>
          </cell>
          <cell r="F186">
            <v>3.5952500446684594E-3</v>
          </cell>
          <cell r="G186">
            <v>6.2012327337488023E-3</v>
          </cell>
          <cell r="H186">
            <v>5.9521558538437984E-3</v>
          </cell>
          <cell r="I186">
            <v>3.9181843273051291E-3</v>
          </cell>
          <cell r="J186"/>
          <cell r="K186"/>
        </row>
        <row r="187">
          <cell r="A187" t="str">
            <v>RHEM-SHCONBR6</v>
          </cell>
          <cell r="B187" t="str">
            <v>VAR_fin</v>
          </cell>
          <cell r="C187" t="str">
            <v>CON</v>
          </cell>
          <cell r="D187"/>
          <cell r="E187">
            <v>6.8568990310146714E-3</v>
          </cell>
          <cell r="F187">
            <v>3.5952500446684594E-3</v>
          </cell>
          <cell r="G187">
            <v>6.2012327337488023E-3</v>
          </cell>
          <cell r="H187">
            <v>5.9521558538437984E-3</v>
          </cell>
          <cell r="I187">
            <v>3.9181843273051291E-3</v>
          </cell>
          <cell r="J187"/>
          <cell r="K187"/>
        </row>
        <row r="188">
          <cell r="A188" t="str">
            <v>RHEM-SHCONBR6</v>
          </cell>
          <cell r="B188" t="str">
            <v>VAR_ncap</v>
          </cell>
          <cell r="C188" t="str">
            <v>-</v>
          </cell>
          <cell r="D188"/>
          <cell r="E188">
            <v>4.9868700893509804E-4</v>
          </cell>
          <cell r="F188">
            <v>1.00200240195318E-6</v>
          </cell>
          <cell r="G188">
            <v>1.2075281970865401E-6</v>
          </cell>
          <cell r="H188">
            <v>2.1888660571851698E-6</v>
          </cell>
          <cell r="I188">
            <v>1.7162935654892699E-5</v>
          </cell>
          <cell r="J188"/>
          <cell r="K188"/>
        </row>
        <row r="189">
          <cell r="A189" t="str">
            <v>RHEM-SHCONBR6</v>
          </cell>
          <cell r="B189" t="str">
            <v>VAR_cap</v>
          </cell>
          <cell r="C189" t="str">
            <v>-</v>
          </cell>
          <cell r="D189"/>
          <cell r="E189">
            <v>4.9868700893509804E-4</v>
          </cell>
          <cell r="F189">
            <v>4.9911189717085106E-4</v>
          </cell>
          <cell r="G189">
            <v>5.0035304903728187E-4</v>
          </cell>
          <cell r="H189">
            <v>5.0497882341692167E-4</v>
          </cell>
          <cell r="I189">
            <v>3.1216939365146152E-4</v>
          </cell>
          <cell r="J189"/>
        </row>
        <row r="190">
          <cell r="A190" t="str">
            <v>RHEM-SHCONBR7</v>
          </cell>
          <cell r="B190" t="str">
            <v>VAR_fout</v>
          </cell>
          <cell r="C190" t="str">
            <v>RHEM-SHCON</v>
          </cell>
          <cell r="D190"/>
          <cell r="E190">
            <v>3.1481069494043337E-3</v>
          </cell>
          <cell r="F190">
            <v>1.6921907584102455E-3</v>
          </cell>
          <cell r="G190">
            <v>2.6704037699067599E-3</v>
          </cell>
          <cell r="H190">
            <v>2.5348627000023665E-3</v>
          </cell>
          <cell r="I190">
            <v>1.7204787621227329E-3</v>
          </cell>
          <cell r="J190"/>
        </row>
        <row r="191">
          <cell r="A191" t="str">
            <v>RHEM-SHCONBR7</v>
          </cell>
          <cell r="B191" t="str">
            <v>VAR_fin</v>
          </cell>
          <cell r="C191" t="str">
            <v>CON</v>
          </cell>
          <cell r="D191"/>
          <cell r="E191">
            <v>3.1481069494043337E-3</v>
          </cell>
          <cell r="F191">
            <v>1.6921907584102455E-3</v>
          </cell>
          <cell r="G191">
            <v>2.6704037699067599E-3</v>
          </cell>
          <cell r="H191">
            <v>2.5348627000023665E-3</v>
          </cell>
          <cell r="I191">
            <v>1.7204787621227329E-3</v>
          </cell>
          <cell r="J191"/>
          <cell r="K191"/>
        </row>
        <row r="192">
          <cell r="A192" t="str">
            <v>RHEM-SHCONBR7</v>
          </cell>
          <cell r="B192" t="str">
            <v>VAR_ncap</v>
          </cell>
          <cell r="C192" t="str">
            <v>-</v>
          </cell>
          <cell r="D192"/>
          <cell r="E192">
            <v>2.34108531110369E-4</v>
          </cell>
          <cell r="F192">
            <v>9.953932572338131E-7</v>
          </cell>
          <cell r="G192">
            <v>6.8772167753752898E-7</v>
          </cell>
          <cell r="H192">
            <v>1.4386532603131E-6</v>
          </cell>
          <cell r="I192">
            <v>7.3456619140585803E-6</v>
          </cell>
          <cell r="J192"/>
        </row>
        <row r="193">
          <cell r="A193" t="str">
            <v>RHEM-SHCONBR7</v>
          </cell>
          <cell r="B193" t="str">
            <v>VAR_cap</v>
          </cell>
          <cell r="C193" t="str">
            <v>-</v>
          </cell>
          <cell r="D193"/>
          <cell r="E193">
            <v>2.34108531110369E-4</v>
          </cell>
          <cell r="F193">
            <v>2.3472703921441286E-4</v>
          </cell>
          <cell r="G193">
            <v>2.3534580015825761E-4</v>
          </cell>
          <cell r="H193">
            <v>2.3965338724125836E-4</v>
          </cell>
          <cell r="I193">
            <v>1.4848922340511211E-4</v>
          </cell>
          <cell r="J193"/>
        </row>
        <row r="194">
          <cell r="A194" t="str">
            <v>RHEM-SHCONBR8</v>
          </cell>
          <cell r="B194" t="str">
            <v>VAR_fout</v>
          </cell>
          <cell r="C194" t="str">
            <v>RHEM-SHCON</v>
          </cell>
          <cell r="D194"/>
          <cell r="E194">
            <v>9.6707195880965842E-4</v>
          </cell>
          <cell r="F194">
            <v>5.7402318373736669E-4</v>
          </cell>
          <cell r="G194">
            <v>7.3915000080634452E-4</v>
          </cell>
          <cell r="H194">
            <v>7.1926029936673051E-4</v>
          </cell>
          <cell r="I194">
            <v>4.9308584354833219E-4</v>
          </cell>
          <cell r="J194"/>
        </row>
        <row r="195">
          <cell r="A195" t="str">
            <v>RHEM-SHCONBR8</v>
          </cell>
          <cell r="B195" t="str">
            <v>VAR_fin</v>
          </cell>
          <cell r="C195" t="str">
            <v>CON</v>
          </cell>
          <cell r="D195"/>
          <cell r="E195">
            <v>9.6707195880965842E-4</v>
          </cell>
          <cell r="F195">
            <v>5.7402318373736669E-4</v>
          </cell>
          <cell r="G195">
            <v>7.3915000080634452E-4</v>
          </cell>
          <cell r="H195">
            <v>7.1926029936673051E-4</v>
          </cell>
          <cell r="I195">
            <v>4.9308584354833219E-4</v>
          </cell>
          <cell r="J195"/>
        </row>
        <row r="196">
          <cell r="A196" t="str">
            <v>RHEM-SHCONBR8</v>
          </cell>
          <cell r="B196" t="str">
            <v>VAR_ncap</v>
          </cell>
          <cell r="C196" t="str">
            <v>-</v>
          </cell>
          <cell r="D196"/>
          <cell r="E196">
            <v>7.3094404451679398E-5</v>
          </cell>
          <cell r="F196">
            <v>1.0025495683384999E-6</v>
          </cell>
          <cell r="G196">
            <v>3.02685598980858E-7</v>
          </cell>
          <cell r="H196">
            <v>7.5527670668457E-7</v>
          </cell>
          <cell r="I196">
            <v>1.1365610327465801E-6</v>
          </cell>
          <cell r="J196"/>
          <cell r="K196"/>
        </row>
        <row r="197">
          <cell r="A197" t="str">
            <v>RHEM-SHCONBR8</v>
          </cell>
          <cell r="B197" t="str">
            <v>VAR_cap</v>
          </cell>
          <cell r="C197" t="str">
            <v>-</v>
          </cell>
          <cell r="D197"/>
          <cell r="E197">
            <v>7.3094404451679398E-5</v>
          </cell>
          <cell r="F197">
            <v>7.3930104136941317E-5</v>
          </cell>
          <cell r="G197">
            <v>7.4140609202761267E-5</v>
          </cell>
          <cell r="H197">
            <v>7.7301612906388264E-5</v>
          </cell>
          <cell r="I197">
            <v>4.7604334602180537E-5</v>
          </cell>
          <cell r="J197"/>
          <cell r="K197"/>
        </row>
        <row r="198">
          <cell r="A198" t="str">
            <v>RHES-SHELCHP</v>
          </cell>
          <cell r="B198" t="str">
            <v>VAR_fout</v>
          </cell>
          <cell r="C198" t="str">
            <v>RHES-SHAELCH</v>
          </cell>
          <cell r="D198">
            <v>9.1578663302137802</v>
          </cell>
          <cell r="E198">
            <v>10.275952747906828</v>
          </cell>
          <cell r="F198">
            <v>20.273622331173712</v>
          </cell>
          <cell r="G198">
            <v>28.165673199480089</v>
          </cell>
          <cell r="H198">
            <v>31.407928958079882</v>
          </cell>
          <cell r="I198">
            <v>27.38037004182317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VAR_fin</v>
          </cell>
          <cell r="C199" t="str">
            <v>RHES_ELC</v>
          </cell>
          <cell r="D199">
            <v>2.8618332281918053</v>
          </cell>
          <cell r="E199">
            <v>3.1585920331680848</v>
          </cell>
          <cell r="F199">
            <v>6.9602689029742777</v>
          </cell>
          <cell r="G199">
            <v>8.6322622788939967</v>
          </cell>
          <cell r="H199">
            <v>8.5836429170213666</v>
          </cell>
          <cell r="I199">
            <v>6.6799142286289905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RHESELCHPC</v>
          </cell>
          <cell r="D200">
            <v>9.1578663302137802</v>
          </cell>
          <cell r="E200">
            <v>10.275952747906828</v>
          </cell>
          <cell r="F200">
            <v>20.273622331173712</v>
          </cell>
          <cell r="G200">
            <v>28.165673199480089</v>
          </cell>
          <cell r="H200">
            <v>31.407928958079882</v>
          </cell>
          <cell r="I200">
            <v>27.38037004182317</v>
          </cell>
          <cell r="J200"/>
          <cell r="K200"/>
        </row>
        <row r="201">
          <cell r="A201" t="str">
            <v>RHES-SHELCHP</v>
          </cell>
          <cell r="B201" t="str">
            <v>VAR_ncap</v>
          </cell>
          <cell r="C201" t="str">
            <v>-</v>
          </cell>
          <cell r="D201">
            <v>2.2557019523332001E-7</v>
          </cell>
          <cell r="E201">
            <v>9.0333747905436398E-2</v>
          </cell>
          <cell r="F201">
            <v>0.80803507822487197</v>
          </cell>
          <cell r="G201">
            <v>0.637372849018216</v>
          </cell>
          <cell r="H201">
            <v>1.22840747695605</v>
          </cell>
          <cell r="I201">
            <v>1.01153319703684</v>
          </cell>
          <cell r="J201"/>
          <cell r="K201"/>
          <cell r="M201"/>
        </row>
        <row r="202">
          <cell r="A202" t="str">
            <v>RHES-SHELCHP</v>
          </cell>
          <cell r="B202" t="str">
            <v>VAR_cap</v>
          </cell>
          <cell r="C202" t="str">
            <v>-</v>
          </cell>
          <cell r="D202">
            <v>0.73983815349556015</v>
          </cell>
          <cell r="E202">
            <v>0.83017112266330406</v>
          </cell>
          <cell r="F202">
            <v>1.638202756136959</v>
          </cell>
          <cell r="G202">
            <v>2.2755752552373711</v>
          </cell>
          <cell r="H202">
            <v>2.5376090188213403</v>
          </cell>
          <cell r="I202">
            <v>2.2121389655550106</v>
          </cell>
          <cell r="J202"/>
        </row>
        <row r="203">
          <cell r="A203" t="str">
            <v>RHSA-WHELCHP</v>
          </cell>
          <cell r="B203" t="str">
            <v>VAR_fout</v>
          </cell>
          <cell r="C203" t="str">
            <v>RHSA-WHAELCH</v>
          </cell>
          <cell r="D203">
            <v>3.2399591177266145</v>
          </cell>
          <cell r="E203">
            <v>3.6354892227154409</v>
          </cell>
          <cell r="F203">
            <v>5.1446957639134698</v>
          </cell>
          <cell r="G203">
            <v>8.9323812851755715</v>
          </cell>
          <cell r="H203">
            <v>13.252249386199809</v>
          </cell>
          <cell r="I203">
            <v>14.319180904659747</v>
          </cell>
          <cell r="J203"/>
        </row>
        <row r="204">
          <cell r="A204" t="str">
            <v>RHSA-WHELCHP</v>
          </cell>
          <cell r="B204" t="str">
            <v>VAR_fin</v>
          </cell>
          <cell r="C204" t="str">
            <v>RHSA_ELC</v>
          </cell>
          <cell r="D204">
            <v>1.1489216729527021</v>
          </cell>
          <cell r="E204">
            <v>1.2864434616827474</v>
          </cell>
          <cell r="F204">
            <v>2.6696178600200247</v>
          </cell>
          <cell r="G204">
            <v>4.0941404969390724</v>
          </cell>
          <cell r="H204">
            <v>5.3441364393335578</v>
          </cell>
          <cell r="I204">
            <v>5.1074521579307843</v>
          </cell>
          <cell r="J204"/>
        </row>
        <row r="205">
          <cell r="A205" t="str">
            <v>RHSA-WHELCHP</v>
          </cell>
          <cell r="B205" t="str">
            <v>VAR_ncap</v>
          </cell>
          <cell r="C205" t="str">
            <v>-</v>
          </cell>
          <cell r="D205">
            <v>7.39870630263366E-5</v>
          </cell>
          <cell r="E205">
            <v>3.4040216653103098E-2</v>
          </cell>
          <cell r="F205">
            <v>9.3701103563918101E-2</v>
          </cell>
          <cell r="G205">
            <v>0.26951429382085401</v>
          </cell>
          <cell r="H205">
            <v>0.39270880911684503</v>
          </cell>
          <cell r="I205">
            <v>0.55798567656792397</v>
          </cell>
          <cell r="J205"/>
        </row>
        <row r="206">
          <cell r="A206" t="str">
            <v>RHSA-WHELCHP</v>
          </cell>
          <cell r="B206" t="str">
            <v>VAR_cap</v>
          </cell>
          <cell r="C206" t="str">
            <v>-</v>
          </cell>
          <cell r="D206">
            <v>0.21342664948226733</v>
          </cell>
          <cell r="E206">
            <v>0.24746286556839911</v>
          </cell>
          <cell r="F206">
            <v>0.34116156669530434</v>
          </cell>
          <cell r="G206">
            <v>0.6106740652886341</v>
          </cell>
          <cell r="H206">
            <v>0.90608617714509343</v>
          </cell>
          <cell r="I206">
            <v>0.97526091541215432</v>
          </cell>
          <cell r="J206"/>
          <cell r="K206"/>
        </row>
        <row r="207">
          <cell r="A207" t="str">
            <v>D-ITOT_LTH_CHP</v>
          </cell>
          <cell r="B207" t="str">
            <v>VAR_fout</v>
          </cell>
          <cell r="C207" t="str">
            <v>ITOT_LTH_CHP_ON</v>
          </cell>
          <cell r="D207">
            <v>5.6087068843302585</v>
          </cell>
          <cell r="E207">
            <v>6.0095664925977159</v>
          </cell>
          <cell r="F207">
            <v>6.0777976499071196</v>
          </cell>
          <cell r="G207">
            <v>7.0181523344042569</v>
          </cell>
          <cell r="H207">
            <v>10.940184505665023</v>
          </cell>
          <cell r="I207">
            <v>13.089382926510593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LTH</v>
          </cell>
          <cell r="D208"/>
          <cell r="E208">
            <v>8.4118238319090966E-5</v>
          </cell>
          <cell r="F208">
            <v>2.8778399116510989E-3</v>
          </cell>
          <cell r="G208">
            <v>3.3718958776838052E-4</v>
          </cell>
          <cell r="H208">
            <v>2.1988795499482051E-2</v>
          </cell>
          <cell r="I208">
            <v>3.264844947359468E-2</v>
          </cell>
          <cell r="J208"/>
          <cell r="K208"/>
        </row>
        <row r="209">
          <cell r="A209" t="str">
            <v>D-ITOT_LTH_CHP</v>
          </cell>
          <cell r="B209" t="str">
            <v>VAR_fin</v>
          </cell>
          <cell r="C209" t="str">
            <v>ITOT_LTH_CHP</v>
          </cell>
          <cell r="D209">
            <v>5.6087068843302585</v>
          </cell>
          <cell r="E209">
            <v>6.0096506108360384</v>
          </cell>
          <cell r="F209">
            <v>6.0806754898187751</v>
          </cell>
          <cell r="G209">
            <v>7.0184895239920175</v>
          </cell>
          <cell r="H209">
            <v>10.962173301164514</v>
          </cell>
          <cell r="I209">
            <v>13.122031375984182</v>
          </cell>
          <cell r="J209"/>
        </row>
        <row r="210">
          <cell r="A210" t="str">
            <v>RHEM-SHCONBR9</v>
          </cell>
          <cell r="B210" t="str">
            <v>VAR_fout</v>
          </cell>
          <cell r="C210" t="str">
            <v>RHEM-SHCON</v>
          </cell>
          <cell r="D210"/>
          <cell r="E210">
            <v>3.2540480688089582E-4</v>
          </cell>
          <cell r="F210">
            <v>2.2690720391610946E-4</v>
          </cell>
          <cell r="G210">
            <v>2.3074120944936369E-4</v>
          </cell>
          <cell r="H210">
            <v>2.4546011788420795E-4</v>
          </cell>
          <cell r="I210">
            <v>1.6884596383033053E-4</v>
          </cell>
          <cell r="J210"/>
          <cell r="K210"/>
        </row>
        <row r="211">
          <cell r="A211" t="str">
            <v>RHEM-SHCONBR9</v>
          </cell>
          <cell r="B211" t="str">
            <v>VAR_fin</v>
          </cell>
          <cell r="C211" t="str">
            <v>CON</v>
          </cell>
          <cell r="D211"/>
          <cell r="E211">
            <v>3.2540480688089582E-4</v>
          </cell>
          <cell r="F211">
            <v>2.2690720391610946E-4</v>
          </cell>
          <cell r="G211">
            <v>2.3074120944936369E-4</v>
          </cell>
          <cell r="H211">
            <v>2.4546011788420795E-4</v>
          </cell>
          <cell r="I211">
            <v>1.6884596383033053E-4</v>
          </cell>
          <cell r="J211"/>
          <cell r="K211"/>
        </row>
        <row r="212">
          <cell r="A212" t="str">
            <v>RHEM-SHCONBR9</v>
          </cell>
          <cell r="B212" t="str">
            <v>VAR_ncap</v>
          </cell>
          <cell r="C212" t="str">
            <v>-</v>
          </cell>
          <cell r="D212"/>
          <cell r="E212">
            <v>2.0728897292071599E-5</v>
          </cell>
          <cell r="F212">
            <v>9.1723587185995102E-7</v>
          </cell>
          <cell r="G212">
            <v>1.6312899954520599E-7</v>
          </cell>
          <cell r="H212">
            <v>3.9272562148210399E-7</v>
          </cell>
          <cell r="I212">
            <v>3.9463228159015199E-7</v>
          </cell>
          <cell r="J212"/>
          <cell r="K212"/>
        </row>
        <row r="213">
          <cell r="A213" t="str">
            <v>RHEM-SHCONBR9</v>
          </cell>
          <cell r="B213" t="str">
            <v>VAR_cap</v>
          </cell>
          <cell r="C213" t="str">
            <v>-</v>
          </cell>
          <cell r="D213"/>
          <cell r="E213">
            <v>2.0728897292071599E-5</v>
          </cell>
          <cell r="F213">
            <v>2.1568707337858662E-5</v>
          </cell>
          <cell r="G213">
            <v>2.1680238228407794E-5</v>
          </cell>
          <cell r="H213">
            <v>2.3641711224512792E-5</v>
          </cell>
          <cell r="I213">
            <v>1.5186048993959893E-5</v>
          </cell>
          <cell r="J213"/>
        </row>
        <row r="214">
          <cell r="A214" t="str">
            <v>SCOM-SHELCHP</v>
          </cell>
          <cell r="B214" t="str">
            <v>VAR_fout</v>
          </cell>
          <cell r="C214" t="str">
            <v>SCOM-SHAELCH</v>
          </cell>
          <cell r="D214">
            <v>4.2612883318636356</v>
          </cell>
          <cell r="E214">
            <v>4.617695157643908</v>
          </cell>
          <cell r="F214">
            <v>6.2557172681625257</v>
          </cell>
          <cell r="G214">
            <v>15.1126810256429</v>
          </cell>
          <cell r="H214">
            <v>23.154411832782866</v>
          </cell>
          <cell r="I214">
            <v>21.454073445012551</v>
          </cell>
          <cell r="J214"/>
          <cell r="K214"/>
        </row>
        <row r="215">
          <cell r="A215" t="str">
            <v>SCOM-SHELCHP</v>
          </cell>
          <cell r="B215" t="str">
            <v>VAR_fin</v>
          </cell>
          <cell r="C215" t="str">
            <v>SCOMELCHPC</v>
          </cell>
          <cell r="D215">
            <v>4.2612883318636356</v>
          </cell>
          <cell r="E215">
            <v>4.617695157643908</v>
          </cell>
          <cell r="F215">
            <v>6.2557172681625257</v>
          </cell>
          <cell r="G215">
            <v>15.1126810256429</v>
          </cell>
          <cell r="H215">
            <v>23.154411832782866</v>
          </cell>
          <cell r="I215">
            <v>21.454073445012551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SCOM_ELC</v>
          </cell>
          <cell r="D216">
            <v>1.3316526037073866</v>
          </cell>
          <cell r="E216">
            <v>1.4252145548283672</v>
          </cell>
          <cell r="F216">
            <v>2.0966437877029991</v>
          </cell>
          <cell r="G216">
            <v>4.5161973611466593</v>
          </cell>
          <cell r="H216">
            <v>6.3338533221023949</v>
          </cell>
          <cell r="I216">
            <v>5.494323191086993</v>
          </cell>
          <cell r="J216"/>
        </row>
        <row r="217">
          <cell r="A217" t="str">
            <v>SCOM-SHELCHP</v>
          </cell>
          <cell r="B217" t="str">
            <v>VAR_ncap</v>
          </cell>
          <cell r="C217" t="str">
            <v>-</v>
          </cell>
          <cell r="D217">
            <v>1.2476542428203999E-5</v>
          </cell>
          <cell r="E217">
            <v>3.6700448844634702E-5</v>
          </cell>
          <cell r="F217">
            <v>5.36818790894747E-2</v>
          </cell>
          <cell r="G217">
            <v>0.685501121222995</v>
          </cell>
          <cell r="H217">
            <v>0.71016602405191898</v>
          </cell>
          <cell r="I217">
            <v>0.90649281383907598</v>
          </cell>
          <cell r="J217"/>
          <cell r="K217"/>
        </row>
        <row r="218">
          <cell r="A218" t="str">
            <v>SCOM-SHELCHP</v>
          </cell>
          <cell r="B218" t="str">
            <v>VAR_cap</v>
          </cell>
          <cell r="C218" t="str">
            <v>-</v>
          </cell>
          <cell r="D218">
            <v>0.43062978999621621</v>
          </cell>
          <cell r="E218">
            <v>0.43066015157434534</v>
          </cell>
          <cell r="F218">
            <v>0.4843398113704786</v>
          </cell>
          <cell r="G218">
            <v>1.1698397821211284</v>
          </cell>
          <cell r="H218">
            <v>1.7991444484671704</v>
          </cell>
          <cell r="I218">
            <v>1.6804533750205377</v>
          </cell>
          <cell r="J218"/>
        </row>
        <row r="219">
          <cell r="A219" t="str">
            <v>D-ITOT_NKEV_OIL_ELC_CHP</v>
          </cell>
          <cell r="B219" t="str">
            <v>VAR_fout</v>
          </cell>
          <cell r="C219" t="str">
            <v>ITOT_ELC</v>
          </cell>
          <cell r="D219">
            <v>5.5916944302178903E-2</v>
          </cell>
          <cell r="E219">
            <v>0.15614483644031024</v>
          </cell>
          <cell r="F219">
            <v>4.1287970497607233E-3</v>
          </cell>
          <cell r="G219">
            <v>2.8430499121564663E-5</v>
          </cell>
          <cell r="H219">
            <v>0.15172179058288685</v>
          </cell>
          <cell r="I219">
            <v>0.14519513074880766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ELC5</v>
          </cell>
          <cell r="D220">
            <v>1.4600147038819525E-2</v>
          </cell>
          <cell r="E220">
            <v>1.5164356560046808E-2</v>
          </cell>
          <cell r="F220">
            <v>3.2393026646081857E-3</v>
          </cell>
          <cell r="G220">
            <v>2.8603333236704419E-5</v>
          </cell>
          <cell r="H220">
            <v>1.6732869233100651E-2</v>
          </cell>
          <cell r="I220">
            <v>2.6355960758072224E-2</v>
          </cell>
          <cell r="J220"/>
        </row>
        <row r="221">
          <cell r="A221" t="str">
            <v>D-ITOT_NKEV_OIL_ELC_CHP</v>
          </cell>
          <cell r="B221" t="str">
            <v>VAR_fin</v>
          </cell>
          <cell r="C221" t="str">
            <v>ITOT_NKEV_OIL_ELC_CHP</v>
          </cell>
          <cell r="D221">
            <v>7.0517091340998414E-2</v>
          </cell>
          <cell r="E221">
            <v>0.17130919300035691</v>
          </cell>
          <cell r="F221">
            <v>7.3224899549460733E-3</v>
          </cell>
          <cell r="G221">
            <v>1.5324051208595847E-5</v>
          </cell>
          <cell r="H221">
            <v>0.16842918920540154</v>
          </cell>
          <cell r="I221">
            <v>0.17153526701709715</v>
          </cell>
          <cell r="J221"/>
        </row>
        <row r="222">
          <cell r="A222" t="str">
            <v>RHSA-WHCONBR1</v>
          </cell>
          <cell r="B222" t="str">
            <v>VAR_ncap</v>
          </cell>
          <cell r="C222" t="str">
            <v>-</v>
          </cell>
          <cell r="D222"/>
          <cell r="E222"/>
          <cell r="F222">
            <v>375</v>
          </cell>
          <cell r="G222">
            <v>5.1938897224060199</v>
          </cell>
          <cell r="H222"/>
          <cell r="I222"/>
          <cell r="J222"/>
          <cell r="K222"/>
        </row>
        <row r="223">
          <cell r="A223" t="str">
            <v>RHSA-WHCONBR1</v>
          </cell>
          <cell r="B223" t="str">
            <v>VAR_cap</v>
          </cell>
          <cell r="C223" t="str">
            <v>-</v>
          </cell>
          <cell r="D223"/>
          <cell r="E223"/>
          <cell r="F223">
            <v>375</v>
          </cell>
          <cell r="G223">
            <v>13.317403382829013</v>
          </cell>
          <cell r="H223">
            <v>6.9365975379409974</v>
          </cell>
          <cell r="I223">
            <v>3.109943292300045</v>
          </cell>
          <cell r="J223"/>
          <cell r="K223"/>
        </row>
        <row r="224">
          <cell r="A224" t="str">
            <v>RHNS-SHELCBR</v>
          </cell>
          <cell r="B224" t="str">
            <v>VAR_fout</v>
          </cell>
          <cell r="C224" t="str">
            <v>RHNS-SHAELCB</v>
          </cell>
          <cell r="D224"/>
          <cell r="E224">
            <v>6.9077613903366322E-2</v>
          </cell>
          <cell r="F224">
            <v>3.896175227366305E-3</v>
          </cell>
          <cell r="G224">
            <v>6.5136649473352144E-3</v>
          </cell>
          <cell r="H224">
            <v>6.5606524276607646E-3</v>
          </cell>
          <cell r="I224">
            <v>4.227895618775783E-3</v>
          </cell>
          <cell r="J224"/>
        </row>
        <row r="225">
          <cell r="A225" t="str">
            <v>RHNS-SHELCBR</v>
          </cell>
          <cell r="B225" t="str">
            <v>VAR_fin</v>
          </cell>
          <cell r="C225" t="str">
            <v>RHNS_ELC</v>
          </cell>
          <cell r="D225"/>
          <cell r="E225">
            <v>7.2713277793017186E-2</v>
          </cell>
          <cell r="F225">
            <v>4.1012370814382196E-3</v>
          </cell>
          <cell r="G225">
            <v>6.8564894182475949E-3</v>
          </cell>
          <cell r="H225">
            <v>6.9059499238534406E-3</v>
          </cell>
          <cell r="I225">
            <v>4.4504164408166198E-3</v>
          </cell>
          <cell r="J225"/>
        </row>
        <row r="226">
          <cell r="A226" t="str">
            <v>RHNS-SHELCBR</v>
          </cell>
          <cell r="B226" t="str">
            <v>VAR_ncap</v>
          </cell>
          <cell r="C226" t="str">
            <v>-</v>
          </cell>
          <cell r="D226"/>
          <cell r="E226">
            <v>6.7934566467204999E-3</v>
          </cell>
          <cell r="F226"/>
          <cell r="G226"/>
          <cell r="H226"/>
          <cell r="I226"/>
          <cell r="J226"/>
        </row>
        <row r="227">
          <cell r="A227" t="str">
            <v>RHNS-SHELCBR</v>
          </cell>
          <cell r="B227" t="str">
            <v>VAR_cap</v>
          </cell>
          <cell r="C227" t="str">
            <v>-</v>
          </cell>
          <cell r="D227"/>
          <cell r="E227">
            <v>6.7934566467204999E-3</v>
          </cell>
          <cell r="F227">
            <v>6.7861948370029103E-3</v>
          </cell>
          <cell r="G227">
            <v>6.7702776420294009E-3</v>
          </cell>
          <cell r="H227">
            <v>4.5054871082932726E-3</v>
          </cell>
          <cell r="I227">
            <v>1.9022177346852351E-3</v>
          </cell>
          <cell r="J227"/>
          <cell r="K227"/>
        </row>
        <row r="228">
          <cell r="A228" t="str">
            <v>RHSA-WHCONBR2</v>
          </cell>
          <cell r="B228" t="str">
            <v>VAR_ncap</v>
          </cell>
          <cell r="C228" t="str">
            <v>-</v>
          </cell>
          <cell r="D228"/>
          <cell r="E228"/>
          <cell r="F228">
            <v>375</v>
          </cell>
          <cell r="G228">
            <v>5.1938897224059</v>
          </cell>
          <cell r="H228"/>
          <cell r="I228"/>
          <cell r="J228"/>
          <cell r="K228"/>
        </row>
        <row r="229">
          <cell r="A229" t="str">
            <v>RHSA-WHCONBR2</v>
          </cell>
          <cell r="B229" t="str">
            <v>VAR_cap</v>
          </cell>
          <cell r="C229" t="str">
            <v>-</v>
          </cell>
          <cell r="D229"/>
          <cell r="E229"/>
          <cell r="F229">
            <v>375</v>
          </cell>
          <cell r="G229">
            <v>13.317403382832026</v>
          </cell>
          <cell r="H229">
            <v>6.9365975379429869</v>
          </cell>
          <cell r="I229">
            <v>3.1099432923010113</v>
          </cell>
          <cell r="J229"/>
          <cell r="K229"/>
        </row>
        <row r="230">
          <cell r="A230" t="str">
            <v>ITOT-SWHSTG-SOL</v>
          </cell>
          <cell r="B230" t="str">
            <v>VAR_fout</v>
          </cell>
          <cell r="C230" t="str">
            <v>ITOT-SWHASOL</v>
          </cell>
          <cell r="D230">
            <v>3.1960039547868264E-4</v>
          </cell>
          <cell r="E230">
            <v>3.894642602348898E-4</v>
          </cell>
          <cell r="F230">
            <v>1.8537860122993761E-2</v>
          </cell>
          <cell r="G230">
            <v>3.2584107774119385E-4</v>
          </cell>
          <cell r="H230">
            <v>3.9342650738430018E-2</v>
          </cell>
          <cell r="I230">
            <v>1.0876519828511025E-2</v>
          </cell>
          <cell r="J230"/>
        </row>
        <row r="231">
          <cell r="A231" t="str">
            <v>ITOT-SWHSTG-SOL</v>
          </cell>
          <cell r="B231" t="str">
            <v>VAR_fin</v>
          </cell>
          <cell r="C231" t="str">
            <v>ITOT-SWHASOL</v>
          </cell>
          <cell r="D231">
            <v>3.2427476933144891E-4</v>
          </cell>
          <cell r="E231">
            <v>3.2895916511142663E-4</v>
          </cell>
          <cell r="F231">
            <v>2.3752431108044664E-2</v>
          </cell>
          <cell r="G231">
            <v>2.9366642508650066E-4</v>
          </cell>
          <cell r="H231">
            <v>4.6130322303376374E-2</v>
          </cell>
          <cell r="I231">
            <v>1.2024695362494875E-2</v>
          </cell>
          <cell r="J231"/>
        </row>
        <row r="232">
          <cell r="A232" t="str">
            <v>ITOT-SWHSTG-SOL</v>
          </cell>
          <cell r="B232" t="str">
            <v>VAR_ncap</v>
          </cell>
          <cell r="C232" t="str">
            <v>-</v>
          </cell>
          <cell r="D232">
            <v>1.21924110263051E-4</v>
          </cell>
          <cell r="E232">
            <v>1.7478313854756099E-7</v>
          </cell>
          <cell r="F232">
            <v>7.3296431018585698E-2</v>
          </cell>
          <cell r="G232">
            <v>4.9232120373738102E-4</v>
          </cell>
          <cell r="H232">
            <v>6.2723787541452497E-2</v>
          </cell>
          <cell r="I232">
            <v>1.8319059049500701E-2</v>
          </cell>
          <cell r="J232"/>
        </row>
        <row r="233">
          <cell r="A233" t="str">
            <v>ITOT-SWHSTG-SOL</v>
          </cell>
          <cell r="B233" t="str">
            <v>VAR_cap</v>
          </cell>
          <cell r="C233" t="str">
            <v>-</v>
          </cell>
          <cell r="D233">
            <v>1.21924110263051E-4</v>
          </cell>
          <cell r="E233">
            <v>1.2209889340159899E-4</v>
          </cell>
          <cell r="F233">
            <v>7.3418529911987301E-2</v>
          </cell>
          <cell r="G233">
            <v>7.3910851115724693E-2</v>
          </cell>
          <cell r="H233">
            <v>8.0899405647225794E-2</v>
          </cell>
          <cell r="I233">
            <v>6.5894284474519199E-2</v>
          </cell>
          <cell r="J233"/>
        </row>
        <row r="234">
          <cell r="A234" t="str">
            <v>RHES-SHLTHCHPNGA</v>
          </cell>
          <cell r="B234" t="str">
            <v>VAR_fout</v>
          </cell>
          <cell r="C234" t="str">
            <v>RHES-SHLTHC-NGA</v>
          </cell>
          <cell r="D234">
            <v>3.6224493734279432E-2</v>
          </cell>
          <cell r="E234">
            <v>2.5839036083081532E-3</v>
          </cell>
          <cell r="F234"/>
          <cell r="G234"/>
          <cell r="H234"/>
          <cell r="I234"/>
          <cell r="J234"/>
          <cell r="K234"/>
        </row>
        <row r="235">
          <cell r="A235" t="str">
            <v>RHES-SHLTHCHPNGA</v>
          </cell>
          <cell r="B235" t="str">
            <v>VAR_fin</v>
          </cell>
          <cell r="C235" t="str">
            <v>RHESLTHCHPC</v>
          </cell>
          <cell r="D235">
            <v>3.6224493734279432E-2</v>
          </cell>
          <cell r="E235">
            <v>2.5839036083081532E-3</v>
          </cell>
          <cell r="F235"/>
          <cell r="G235"/>
          <cell r="H235"/>
          <cell r="I235"/>
          <cell r="J235"/>
        </row>
        <row r="236">
          <cell r="A236" t="str">
            <v>RHES-SHLTHCHPNGA</v>
          </cell>
          <cell r="B236" t="str">
            <v>VAR_fin</v>
          </cell>
          <cell r="C236" t="str">
            <v>RHES_LTH_CHPNGA_ON</v>
          </cell>
          <cell r="D236">
            <v>3.6590397711393371E-2</v>
          </cell>
          <cell r="E236">
            <v>2.6100036447557111E-3</v>
          </cell>
          <cell r="F236"/>
          <cell r="G236"/>
          <cell r="H236"/>
          <cell r="I236"/>
          <cell r="J236"/>
          <cell r="K236"/>
        </row>
        <row r="237">
          <cell r="A237" t="str">
            <v>RHES-SHLTHCHPNGA</v>
          </cell>
          <cell r="B237" t="str">
            <v>VAR_ncap</v>
          </cell>
          <cell r="C237" t="str">
            <v>-</v>
          </cell>
          <cell r="D237"/>
          <cell r="E237">
            <v>2.1511719388525401E-4</v>
          </cell>
          <cell r="F237">
            <v>7.1911545042108399E-4</v>
          </cell>
          <cell r="G237">
            <v>1.42270115243658E-5</v>
          </cell>
          <cell r="H237">
            <v>1.4858775386964299E-3</v>
          </cell>
          <cell r="I237">
            <v>1.1191299825494901E-3</v>
          </cell>
          <cell r="J237"/>
          <cell r="K237"/>
        </row>
        <row r="238">
          <cell r="A238" t="str">
            <v>RHES-SHLTHCHPNGA</v>
          </cell>
          <cell r="B238" t="str">
            <v>VAR_cap</v>
          </cell>
          <cell r="C238" t="str">
            <v>-</v>
          </cell>
          <cell r="D238">
            <v>5.3757649990155603E-3</v>
          </cell>
          <cell r="E238">
            <v>3.5135695930550454E-4</v>
          </cell>
          <cell r="F238">
            <v>8.6246850145173855E-4</v>
          </cell>
          <cell r="G238">
            <v>2.2214044160633918E-5</v>
          </cell>
          <cell r="H238">
            <v>2.0252777626803458E-3</v>
          </cell>
          <cell r="I238">
            <v>1.6440361046260597E-3</v>
          </cell>
          <cell r="J238"/>
          <cell r="K238"/>
        </row>
        <row r="239">
          <cell r="A239" t="str">
            <v>RHSA-WHSTG-ELC</v>
          </cell>
          <cell r="B239" t="str">
            <v>VAR_fout</v>
          </cell>
          <cell r="C239" t="str">
            <v>RHSA-WHAELCB</v>
          </cell>
          <cell r="D239">
            <v>3.9789915241388055E-6</v>
          </cell>
          <cell r="E239">
            <v>9.4628938525449444E-6</v>
          </cell>
          <cell r="F239">
            <v>0.85983790229022838</v>
          </cell>
          <cell r="G239">
            <v>0.46049610628352206</v>
          </cell>
          <cell r="H239">
            <v>0.30282472658594811</v>
          </cell>
          <cell r="I239">
            <v>0.22297560861816859</v>
          </cell>
          <cell r="J239"/>
          <cell r="K239"/>
        </row>
        <row r="240">
          <cell r="A240" t="str">
            <v>RHSA-WHSTG-ELC</v>
          </cell>
          <cell r="B240" t="str">
            <v>VAR_fin</v>
          </cell>
          <cell r="C240" t="str">
            <v>RHSA-WHAELCB</v>
          </cell>
          <cell r="D240">
            <v>2.5869271046750124E-5</v>
          </cell>
          <cell r="E240">
            <v>2.060788502744344E-6</v>
          </cell>
          <cell r="F240">
            <v>0.8598515634469549</v>
          </cell>
          <cell r="G240">
            <v>0.4604983105836653</v>
          </cell>
          <cell r="H240">
            <v>0.3028334229708371</v>
          </cell>
          <cell r="I240">
            <v>0.22298269820994102</v>
          </cell>
          <cell r="J240"/>
          <cell r="K240"/>
        </row>
        <row r="241">
          <cell r="A241" t="str">
            <v>RHSA-WHSTG-ELC</v>
          </cell>
          <cell r="B241" t="str">
            <v>VAR_ncap</v>
          </cell>
          <cell r="C241" t="str">
            <v>-</v>
          </cell>
          <cell r="D241">
            <v>6.6973906897604504E-2</v>
          </cell>
          <cell r="E241">
            <v>4.4475142357768699E-2</v>
          </cell>
          <cell r="F241">
            <v>2.6085190410342297E-4</v>
          </cell>
          <cell r="G241">
            <v>2.6955112150750402E-4</v>
          </cell>
          <cell r="H241">
            <v>2.3690062282078098E-2</v>
          </cell>
          <cell r="I241">
            <v>7.38105854349574E-3</v>
          </cell>
          <cell r="J241"/>
        </row>
        <row r="242">
          <cell r="A242" t="str">
            <v>RHSA-WHSTG-ELC</v>
          </cell>
          <cell r="B242" t="str">
            <v>VAR_cap</v>
          </cell>
          <cell r="C242" t="str">
            <v>-</v>
          </cell>
          <cell r="D242">
            <v>6.6974816266493223E-2</v>
          </cell>
          <cell r="E242">
            <v>0.11107051829038495</v>
          </cell>
          <cell r="F242">
            <v>7.7027918861716421E-2</v>
          </cell>
          <cell r="G242">
            <v>5.9136813792465812E-2</v>
          </cell>
          <cell r="H242">
            <v>2.8785972983460143E-2</v>
          </cell>
          <cell r="I242">
            <v>2.6333287666511759E-2</v>
          </cell>
          <cell r="J242"/>
          <cell r="K242"/>
        </row>
        <row r="243">
          <cell r="A243" t="str">
            <v>ITOT-SWHLFOBR</v>
          </cell>
          <cell r="B243" t="str">
            <v>VAR_fout</v>
          </cell>
          <cell r="C243" t="str">
            <v>ITOT-SWH</v>
          </cell>
          <cell r="D243">
            <v>6.9177358865685479</v>
          </cell>
          <cell r="E243">
            <v>6.3104188794499585</v>
          </cell>
          <cell r="F243">
            <v>6.1927800268811817</v>
          </cell>
          <cell r="G243">
            <v>3.8671455050492973</v>
          </cell>
          <cell r="H243">
            <v>2.7774973279268735</v>
          </cell>
          <cell r="I243">
            <v>1.5158823184863814</v>
          </cell>
          <cell r="J243"/>
          <cell r="K243"/>
        </row>
        <row r="244">
          <cell r="A244" t="str">
            <v>ITOT-SWHLFOBR</v>
          </cell>
          <cell r="B244" t="str">
            <v>VAR_fout</v>
          </cell>
          <cell r="C244" t="str">
            <v>CO2_I</v>
          </cell>
          <cell r="D244">
            <v>655.77101918622304</v>
          </cell>
          <cell r="E244">
            <v>597.23384491159402</v>
          </cell>
          <cell r="F244">
            <v>584.68367707389302</v>
          </cell>
          <cell r="G244">
            <v>363.646949543331</v>
          </cell>
          <cell r="H244">
            <v>259.10288027278</v>
          </cell>
          <cell r="I244">
            <v>140.294534511861</v>
          </cell>
          <cell r="J244"/>
          <cell r="K244"/>
        </row>
        <row r="245">
          <cell r="A245" t="str">
            <v>ITOT-SWHLFOBR</v>
          </cell>
          <cell r="B245" t="str">
            <v>VAR_fin</v>
          </cell>
          <cell r="C245" t="str">
            <v>ILFO</v>
          </cell>
          <cell r="D245">
            <v>8.8978428654847015</v>
          </cell>
          <cell r="E245">
            <v>8.1035799852319297</v>
          </cell>
          <cell r="F245">
            <v>7.933292768980909</v>
          </cell>
          <cell r="G245">
            <v>4.9341512828131684</v>
          </cell>
          <cell r="H245">
            <v>3.5156428802276829</v>
          </cell>
          <cell r="I245">
            <v>1.9035893420876706</v>
          </cell>
          <cell r="J245"/>
        </row>
        <row r="246">
          <cell r="A246" t="str">
            <v>ITOT-SWHLFOBR</v>
          </cell>
          <cell r="B246" t="str">
            <v>VAR_ncap</v>
          </cell>
          <cell r="C246" t="str">
            <v>-</v>
          </cell>
          <cell r="D246"/>
          <cell r="E246">
            <v>3.7383177553915602E-3</v>
          </cell>
          <cell r="F246">
            <v>6.0761238120563303E-4</v>
          </cell>
          <cell r="G246">
            <v>3.9275911210649299E-4</v>
          </cell>
          <cell r="H246">
            <v>0.182687868889789</v>
          </cell>
          <cell r="I246">
            <v>0.11812986282134599</v>
          </cell>
          <cell r="J246"/>
          <cell r="K246"/>
        </row>
        <row r="247">
          <cell r="A247" t="str">
            <v>ITOT-SWHLFOBR</v>
          </cell>
          <cell r="B247" t="str">
            <v>VAR_cap</v>
          </cell>
          <cell r="C247" t="str">
            <v>-</v>
          </cell>
          <cell r="D247">
            <v>0.37633543963083199</v>
          </cell>
          <cell r="E247">
            <v>0.38003227453287175</v>
          </cell>
          <cell r="F247">
            <v>0.38005386987044609</v>
          </cell>
          <cell r="G247">
            <v>0.3024644545966429</v>
          </cell>
          <cell r="H247">
            <v>0.19882560285310702</v>
          </cell>
          <cell r="I247">
            <v>0.11928919762354498</v>
          </cell>
          <cell r="J247"/>
          <cell r="K247"/>
        </row>
        <row r="248">
          <cell r="A248" t="str">
            <v>D-SCOM_LTH_CHPNGA</v>
          </cell>
          <cell r="B248" t="str">
            <v>VAR_fout</v>
          </cell>
          <cell r="C248" t="str">
            <v>LTH</v>
          </cell>
          <cell r="D248"/>
          <cell r="E248">
            <v>2.1821327492673395E-5</v>
          </cell>
          <cell r="F248"/>
          <cell r="G248"/>
          <cell r="H248"/>
          <cell r="I248"/>
          <cell r="J248"/>
        </row>
        <row r="249">
          <cell r="A249" t="str">
            <v>D-SCOM_LTH_CHPNGA</v>
          </cell>
          <cell r="B249" t="str">
            <v>VAR_fout</v>
          </cell>
          <cell r="C249" t="str">
            <v>SCOM_LTH_CHPNGA_ON</v>
          </cell>
          <cell r="D249">
            <v>0.6925979983235937</v>
          </cell>
          <cell r="E249">
            <v>0.75022496250616677</v>
          </cell>
          <cell r="F249"/>
          <cell r="G249"/>
          <cell r="H249"/>
          <cell r="I249"/>
          <cell r="J249"/>
        </row>
        <row r="250">
          <cell r="A250" t="str">
            <v>D-SCOM_LTH_CHPNGA</v>
          </cell>
          <cell r="B250" t="str">
            <v>VAR_fin</v>
          </cell>
          <cell r="C250" t="str">
            <v>SCOM_LTH_CHPNGA</v>
          </cell>
          <cell r="D250">
            <v>0.6925979983235937</v>
          </cell>
          <cell r="E250">
            <v>0.75024678383365928</v>
          </cell>
          <cell r="F250"/>
          <cell r="G250"/>
          <cell r="H250"/>
          <cell r="I250"/>
          <cell r="J250"/>
        </row>
        <row r="251">
          <cell r="A251" t="str">
            <v>RHSA-WHCONBR3</v>
          </cell>
          <cell r="B251" t="str">
            <v>VAR_ncap</v>
          </cell>
          <cell r="C251" t="str">
            <v>-</v>
          </cell>
          <cell r="D251"/>
          <cell r="E251"/>
          <cell r="F251">
            <v>375</v>
          </cell>
          <cell r="G251">
            <v>5.1938897224060199</v>
          </cell>
          <cell r="H251"/>
          <cell r="I251"/>
          <cell r="J251"/>
        </row>
        <row r="252">
          <cell r="A252" t="str">
            <v>RHSA-WHCONBR3</v>
          </cell>
          <cell r="B252" t="str">
            <v>VAR_cap</v>
          </cell>
          <cell r="C252" t="str">
            <v>-</v>
          </cell>
          <cell r="D252"/>
          <cell r="E252"/>
          <cell r="F252">
            <v>375</v>
          </cell>
          <cell r="G252">
            <v>13.317403382829013</v>
          </cell>
          <cell r="H252">
            <v>6.9365975379409974</v>
          </cell>
          <cell r="I252">
            <v>3.109943292300045</v>
          </cell>
          <cell r="J252"/>
          <cell r="K252"/>
        </row>
        <row r="253">
          <cell r="A253" t="str">
            <v>D-IWOD</v>
          </cell>
          <cell r="B253" t="str">
            <v>VAR_fout</v>
          </cell>
          <cell r="C253" t="str">
            <v>IWOD</v>
          </cell>
          <cell r="D253">
            <v>9.8757588593096894</v>
          </cell>
          <cell r="E253">
            <v>12.920017020705044</v>
          </cell>
          <cell r="F253">
            <v>14.261845181836941</v>
          </cell>
          <cell r="G253">
            <v>15.309679028888485</v>
          </cell>
          <cell r="H253">
            <v>21.233981053203863</v>
          </cell>
          <cell r="I253">
            <v>17.882230881090923</v>
          </cell>
          <cell r="J253"/>
          <cell r="K253"/>
        </row>
        <row r="254">
          <cell r="A254" t="str">
            <v>D-IWOD</v>
          </cell>
          <cell r="B254" t="str">
            <v>VAR_fin</v>
          </cell>
          <cell r="C254" t="str">
            <v>WOD</v>
          </cell>
          <cell r="D254">
            <v>9.8757588593096894</v>
          </cell>
          <cell r="E254">
            <v>12.920017020705044</v>
          </cell>
          <cell r="F254">
            <v>14.261845181836941</v>
          </cell>
          <cell r="G254">
            <v>15.309679028888485</v>
          </cell>
          <cell r="H254">
            <v>21.233981053203863</v>
          </cell>
          <cell r="I254">
            <v>17.882230881090923</v>
          </cell>
          <cell r="J254"/>
          <cell r="K254"/>
        </row>
        <row r="255">
          <cell r="A255" t="str">
            <v>RHSA-WHCONBR4</v>
          </cell>
          <cell r="B255" t="str">
            <v>VAR_ncap</v>
          </cell>
          <cell r="C255" t="str">
            <v>-</v>
          </cell>
          <cell r="D255"/>
          <cell r="E255"/>
          <cell r="F255">
            <v>375</v>
          </cell>
          <cell r="G255">
            <v>5.1938897224059</v>
          </cell>
          <cell r="H255"/>
          <cell r="I255"/>
          <cell r="J255"/>
        </row>
        <row r="256">
          <cell r="A256" t="str">
            <v>RHSA-WHCONBR4</v>
          </cell>
          <cell r="B256" t="str">
            <v>VAR_cap</v>
          </cell>
          <cell r="C256" t="str">
            <v>-</v>
          </cell>
          <cell r="D256"/>
          <cell r="E256"/>
          <cell r="F256">
            <v>375</v>
          </cell>
          <cell r="G256">
            <v>13.317403382832026</v>
          </cell>
          <cell r="H256">
            <v>6.9365975379429869</v>
          </cell>
          <cell r="I256">
            <v>3.1099432923010113</v>
          </cell>
          <cell r="J256"/>
        </row>
        <row r="257">
          <cell r="A257" t="str">
            <v>SCOM-ELCSPEC</v>
          </cell>
          <cell r="B257" t="str">
            <v>VAR_fout</v>
          </cell>
          <cell r="C257" t="str">
            <v>SCOM-ELS</v>
          </cell>
          <cell r="D257">
            <v>56.994774574912441</v>
          </cell>
          <cell r="E257">
            <v>58.701906959036592</v>
          </cell>
          <cell r="F257">
            <v>50.292706226013422</v>
          </cell>
          <cell r="G257">
            <v>41.297382777999381</v>
          </cell>
          <cell r="H257">
            <v>25.612270867249471</v>
          </cell>
          <cell r="I257">
            <v>13.617411735649709</v>
          </cell>
          <cell r="J257"/>
          <cell r="K257"/>
        </row>
        <row r="258">
          <cell r="A258" t="str">
            <v>SCOM-ELCSPEC</v>
          </cell>
          <cell r="B258" t="str">
            <v>VAR_fin</v>
          </cell>
          <cell r="C258" t="str">
            <v>SCOM_ELC</v>
          </cell>
          <cell r="D258">
            <v>56.994774574912441</v>
          </cell>
          <cell r="E258">
            <v>58.701906959036592</v>
          </cell>
          <cell r="F258">
            <v>50.292706226013422</v>
          </cell>
          <cell r="G258">
            <v>41.297382777999381</v>
          </cell>
          <cell r="H258">
            <v>25.612270867249471</v>
          </cell>
          <cell r="I258">
            <v>13.617411735649709</v>
          </cell>
          <cell r="J258"/>
        </row>
        <row r="259">
          <cell r="A259" t="str">
            <v>SCOM-ELCSPEC</v>
          </cell>
          <cell r="B259" t="str">
            <v>VAR_ncap</v>
          </cell>
          <cell r="C259" t="str">
            <v>-</v>
          </cell>
          <cell r="D259">
            <v>4.3569595906488799E-6</v>
          </cell>
          <cell r="E259">
            <v>3.1781298041379499E-5</v>
          </cell>
          <cell r="F259">
            <v>2.2479827763028799E-5</v>
          </cell>
          <cell r="G259">
            <v>1.8160949618417001E-5</v>
          </cell>
          <cell r="H259">
            <v>2.64379141381549E-5</v>
          </cell>
          <cell r="I259">
            <v>1.2957486746375699</v>
          </cell>
          <cell r="J259"/>
          <cell r="K259"/>
        </row>
        <row r="260">
          <cell r="A260" t="str">
            <v>SCOM-ELCSPEC</v>
          </cell>
          <cell r="B260" t="str">
            <v>VAR_cap</v>
          </cell>
          <cell r="C260" t="str">
            <v>-</v>
          </cell>
          <cell r="D260">
            <v>6.6055356253134505</v>
          </cell>
          <cell r="E260">
            <v>6.2047972684949881</v>
          </cell>
          <cell r="F260">
            <v>5.3159758515610154</v>
          </cell>
          <cell r="G260">
            <v>4.3651382848341829</v>
          </cell>
          <cell r="H260">
            <v>2.7072833749752978</v>
          </cell>
          <cell r="I260">
            <v>1.5362584453651402</v>
          </cell>
          <cell r="J260"/>
          <cell r="K260"/>
        </row>
        <row r="261">
          <cell r="A261" t="str">
            <v>D-ITOT_KEV_WST_ELC_CHP</v>
          </cell>
          <cell r="B261" t="str">
            <v>VAR_fout</v>
          </cell>
          <cell r="C261" t="str">
            <v>ITOT_ELC</v>
          </cell>
          <cell r="D261">
            <v>8.2433829567296266E-3</v>
          </cell>
          <cell r="E261">
            <v>3.5414256835518301E-3</v>
          </cell>
          <cell r="F261">
            <v>6.6832430678413378E-3</v>
          </cell>
          <cell r="G261">
            <v>2.6061806419491206E-3</v>
          </cell>
          <cell r="H261">
            <v>0.56006474225587988</v>
          </cell>
          <cell r="I261">
            <v>0.46033390153955084</v>
          </cell>
          <cell r="J261"/>
          <cell r="K261"/>
        </row>
        <row r="262">
          <cell r="A262" t="str">
            <v>D-ITOT_KEV_WST_ELC_CHP</v>
          </cell>
          <cell r="B262" t="str">
            <v>VAR_fout</v>
          </cell>
          <cell r="C262" t="str">
            <v>ELC5</v>
          </cell>
          <cell r="D262">
            <v>0.22181018826229901</v>
          </cell>
          <cell r="E262">
            <v>0.22662312277992031</v>
          </cell>
          <cell r="F262">
            <v>0.33004345911391775</v>
          </cell>
          <cell r="G262">
            <v>0.34112985505974597</v>
          </cell>
          <cell r="H262">
            <v>9.088602073277037E-2</v>
          </cell>
          <cell r="I262">
            <v>0.13250663365242446</v>
          </cell>
          <cell r="J262"/>
          <cell r="K262"/>
        </row>
        <row r="263">
          <cell r="A263" t="str">
            <v>D-ITOT_KEV_WST_ELC_CHP</v>
          </cell>
          <cell r="B263" t="str">
            <v>VAR_fin</v>
          </cell>
          <cell r="C263" t="str">
            <v>ITOT_KEV_WST_ELC_CHP</v>
          </cell>
          <cell r="D263">
            <v>0.23005357121902872</v>
          </cell>
          <cell r="E263">
            <v>0.23016454846347228</v>
          </cell>
          <cell r="F263">
            <v>0.33671168877001989</v>
          </cell>
          <cell r="G263">
            <v>0.34371117046355926</v>
          </cell>
          <cell r="H263">
            <v>0.65095076298865107</v>
          </cell>
          <cell r="I263">
            <v>0.59284053519197488</v>
          </cell>
          <cell r="J263"/>
        </row>
        <row r="264">
          <cell r="A264" t="str">
            <v>RHSA-WHCONBR5</v>
          </cell>
          <cell r="B264" t="str">
            <v>VAR_ncap</v>
          </cell>
          <cell r="C264" t="str">
            <v>-</v>
          </cell>
          <cell r="D264"/>
          <cell r="E264"/>
          <cell r="F264">
            <v>375</v>
          </cell>
          <cell r="G264">
            <v>5.1938897224060199</v>
          </cell>
          <cell r="H264"/>
          <cell r="I264"/>
          <cell r="J264"/>
        </row>
        <row r="265">
          <cell r="A265" t="str">
            <v>RHSA-WHCONBR5</v>
          </cell>
          <cell r="B265" t="str">
            <v>VAR_cap</v>
          </cell>
          <cell r="C265" t="str">
            <v>-</v>
          </cell>
          <cell r="D265"/>
          <cell r="E265"/>
          <cell r="F265">
            <v>375</v>
          </cell>
          <cell r="G265">
            <v>13.317403382829013</v>
          </cell>
          <cell r="H265">
            <v>6.9365975379409974</v>
          </cell>
          <cell r="I265">
            <v>3.109943292300045</v>
          </cell>
          <cell r="J265"/>
        </row>
        <row r="266">
          <cell r="A266" t="str">
            <v>D-RHNM_SOLELC</v>
          </cell>
          <cell r="B266" t="str">
            <v>VAR_fout</v>
          </cell>
          <cell r="C266" t="str">
            <v>ELC5</v>
          </cell>
          <cell r="D266"/>
          <cell r="E266">
            <v>1.9681533592844453E-5</v>
          </cell>
          <cell r="F266">
            <v>0.93592554163276598</v>
          </cell>
          <cell r="G266">
            <v>1.051767126726546</v>
          </cell>
          <cell r="H266">
            <v>1.1408813645739488</v>
          </cell>
          <cell r="I266">
            <v>1.1801813604520128</v>
          </cell>
          <cell r="J266"/>
        </row>
        <row r="267">
          <cell r="A267" t="str">
            <v>D-RHNM_SOLELC</v>
          </cell>
          <cell r="B267" t="str">
            <v>VAR_fout</v>
          </cell>
          <cell r="C267" t="str">
            <v>RHNM_ELC</v>
          </cell>
          <cell r="D267"/>
          <cell r="E267">
            <v>1.9727383981733395E-5</v>
          </cell>
          <cell r="F267">
            <v>0.82286408164953251</v>
          </cell>
          <cell r="G267">
            <v>0.89489289904205283</v>
          </cell>
          <cell r="H267">
            <v>1.0096928558791001</v>
          </cell>
          <cell r="I267">
            <v>1.1956346592368936</v>
          </cell>
          <cell r="J267"/>
        </row>
        <row r="268">
          <cell r="A268" t="str">
            <v>D-RHNM_SOLELC</v>
          </cell>
          <cell r="B268" t="str">
            <v>VAR_fin</v>
          </cell>
          <cell r="C268" t="str">
            <v>RHNM_SOL_ELC</v>
          </cell>
          <cell r="D268"/>
          <cell r="E268">
            <v>3.1785219021379539E-5</v>
          </cell>
          <cell r="F268">
            <v>1.7587702063715522</v>
          </cell>
          <cell r="G268">
            <v>1.9466359490914484</v>
          </cell>
          <cell r="H268">
            <v>2.1505414128248574</v>
          </cell>
          <cell r="I268">
            <v>2.3757842725193981</v>
          </cell>
          <cell r="J268"/>
        </row>
        <row r="269">
          <cell r="A269" t="str">
            <v>RHNM-SHSTG-ELCHP</v>
          </cell>
          <cell r="B269" t="str">
            <v>VAR_fout</v>
          </cell>
          <cell r="C269" t="str">
            <v>RHNM-SHAELCH</v>
          </cell>
          <cell r="D269"/>
          <cell r="E269">
            <v>1.7012876737567808E-4</v>
          </cell>
          <cell r="F269">
            <v>0.11046876216509835</v>
          </cell>
          <cell r="G269">
            <v>0.18416139657193253</v>
          </cell>
          <cell r="H269">
            <v>0.25569106858041862</v>
          </cell>
          <cell r="I269">
            <v>0.38168667725303768</v>
          </cell>
          <cell r="J269"/>
        </row>
        <row r="270">
          <cell r="A270" t="str">
            <v>RHNM-SHSTG-ELCHP</v>
          </cell>
          <cell r="B270" t="str">
            <v>VAR_fin</v>
          </cell>
          <cell r="C270" t="str">
            <v>RHNM-SHAELCH</v>
          </cell>
          <cell r="D270"/>
          <cell r="E270">
            <v>1.8009865841528189E-4</v>
          </cell>
          <cell r="F270">
            <v>0.11046835576579897</v>
          </cell>
          <cell r="G270">
            <v>0.18416554368690416</v>
          </cell>
          <cell r="H270">
            <v>0.2557368835879294</v>
          </cell>
          <cell r="I270">
            <v>0.38171394924145213</v>
          </cell>
          <cell r="J270"/>
          <cell r="K270"/>
        </row>
        <row r="271">
          <cell r="A271" t="str">
            <v>RHNM-SHSTG-ELCHP</v>
          </cell>
          <cell r="B271" t="str">
            <v>VAR_ncap</v>
          </cell>
          <cell r="C271" t="str">
            <v>-</v>
          </cell>
          <cell r="D271">
            <v>4.5590946578958301E-4</v>
          </cell>
          <cell r="E271">
            <v>4.6744037152015498E-4</v>
          </cell>
          <cell r="F271">
            <v>1.6377477333932002E-2</v>
          </cell>
          <cell r="G271">
            <v>8.5490869579550599E-3</v>
          </cell>
          <cell r="H271">
            <v>2.0462448082435102E-2</v>
          </cell>
          <cell r="I271">
            <v>2.44603454813975E-2</v>
          </cell>
          <cell r="J271"/>
          <cell r="K271"/>
        </row>
        <row r="272">
          <cell r="A272" t="str">
            <v>RHNM-SHSTG-ELCHP</v>
          </cell>
          <cell r="B272" t="str">
            <v>VAR_cap</v>
          </cell>
          <cell r="C272" t="str">
            <v>-</v>
          </cell>
          <cell r="D272">
            <v>4.5590946578958301E-4</v>
          </cell>
          <cell r="E272">
            <v>8.1410384555297101E-4</v>
          </cell>
          <cell r="F272">
            <v>1.6980454618972976E-2</v>
          </cell>
          <cell r="G272">
            <v>2.5212070123087047E-2</v>
          </cell>
          <cell r="H272">
            <v>3.5815709654857524E-2</v>
          </cell>
          <cell r="I272">
            <v>4.190022102520817E-2</v>
          </cell>
          <cell r="J272"/>
          <cell r="K272"/>
        </row>
        <row r="273">
          <cell r="A273" t="str">
            <v>D-SCOM_LTH</v>
          </cell>
          <cell r="B273" t="str">
            <v>VAR_fout</v>
          </cell>
          <cell r="C273" t="str">
            <v>SCOM_LTH_DH</v>
          </cell>
          <cell r="D273">
            <v>5.6100231344643738</v>
          </cell>
          <cell r="E273">
            <v>6.076717774663452</v>
          </cell>
          <cell r="F273">
            <v>6.7756275836740061</v>
          </cell>
          <cell r="G273">
            <v>6.9260516407518438</v>
          </cell>
          <cell r="H273">
            <v>7.9556138527879359</v>
          </cell>
          <cell r="I273">
            <v>8.3589159155738049</v>
          </cell>
          <cell r="J273"/>
          <cell r="K273"/>
        </row>
        <row r="274">
          <cell r="A274" t="str">
            <v>D-SCOM_LTH</v>
          </cell>
          <cell r="B274" t="str">
            <v>VAR_fin</v>
          </cell>
          <cell r="C274" t="str">
            <v>LTH</v>
          </cell>
          <cell r="D274">
            <v>6.0988008837731869</v>
          </cell>
          <cell r="E274">
            <v>6.6044204896612264</v>
          </cell>
          <cell r="F274">
            <v>7.3611218012894462</v>
          </cell>
          <cell r="G274">
            <v>7.5196056115897072</v>
          </cell>
          <cell r="H274">
            <v>8.6260767359919193</v>
          </cell>
          <cell r="I274">
            <v>9.0515011063810711</v>
          </cell>
          <cell r="J274"/>
          <cell r="K274"/>
        </row>
        <row r="275">
          <cell r="A275" t="str">
            <v>D-SCOM_LTH</v>
          </cell>
          <cell r="B275" t="str">
            <v>VAR_ncap</v>
          </cell>
          <cell r="C275" t="str">
            <v>-</v>
          </cell>
          <cell r="D275">
            <v>0.84970193306453901</v>
          </cell>
          <cell r="E275">
            <v>1.24097350035752E-6</v>
          </cell>
          <cell r="F275">
            <v>1.4399024842469E-6</v>
          </cell>
          <cell r="G275">
            <v>1.0268789916022099E-6</v>
          </cell>
          <cell r="H275">
            <v>1.2592473469219699E-6</v>
          </cell>
          <cell r="I275">
            <v>2.66059524747818E-6</v>
          </cell>
          <cell r="J275"/>
          <cell r="K275"/>
        </row>
        <row r="276">
          <cell r="A276" t="str">
            <v>D-SCOM_LTH</v>
          </cell>
          <cell r="B276" t="str">
            <v>VAR_cap</v>
          </cell>
          <cell r="C276" t="str">
            <v>-</v>
          </cell>
          <cell r="D276">
            <v>0.84970193306453901</v>
          </cell>
          <cell r="E276">
            <v>0.84970317403803897</v>
          </cell>
          <cell r="F276">
            <v>0.84970461394052299</v>
          </cell>
          <cell r="G276">
            <v>0.84970564081951505</v>
          </cell>
          <cell r="H276">
            <v>0.84970959328386098</v>
          </cell>
          <cell r="I276">
            <v>0.84971225387910798</v>
          </cell>
          <cell r="J276"/>
          <cell r="K276"/>
        </row>
        <row r="277">
          <cell r="A277" t="str">
            <v>ITOT-SWHBIOBR</v>
          </cell>
          <cell r="B277" t="str">
            <v>VAR_fout</v>
          </cell>
          <cell r="C277" t="str">
            <v>ITOT-SWH</v>
          </cell>
          <cell r="D277">
            <v>0.31052737609639974</v>
          </cell>
          <cell r="E277">
            <v>0.39252218788291526</v>
          </cell>
          <cell r="F277">
            <v>1.5810259931371171</v>
          </cell>
          <cell r="G277">
            <v>1.581518889591373</v>
          </cell>
          <cell r="H277">
            <v>1.5820018931301087</v>
          </cell>
          <cell r="I277">
            <v>2.7197615656002845</v>
          </cell>
          <cell r="J277"/>
          <cell r="K277"/>
        </row>
        <row r="278">
          <cell r="A278" t="str">
            <v>ITOT-SWHBIOBR</v>
          </cell>
          <cell r="B278" t="str">
            <v>VAR_fin</v>
          </cell>
          <cell r="C278" t="str">
            <v>IBIO</v>
          </cell>
          <cell r="D278">
            <v>0.43674736441125178</v>
          </cell>
          <cell r="E278">
            <v>0.5520705877396842</v>
          </cell>
          <cell r="F278">
            <v>2.2236652505444683</v>
          </cell>
          <cell r="G278">
            <v>2.2243584945026331</v>
          </cell>
          <cell r="H278">
            <v>2.2250378243742728</v>
          </cell>
          <cell r="I278">
            <v>3.7774466188892841</v>
          </cell>
          <cell r="J278"/>
        </row>
        <row r="279">
          <cell r="A279" t="str">
            <v>ITOT-SWHBIOBR</v>
          </cell>
          <cell r="B279" t="str">
            <v>VAR_ncap</v>
          </cell>
          <cell r="C279" t="str">
            <v>-</v>
          </cell>
          <cell r="D279"/>
          <cell r="E279">
            <v>1.3537128406349399E-2</v>
          </cell>
          <cell r="F279">
            <v>6.3766254277790105E-2</v>
          </cell>
          <cell r="G279">
            <v>4.3769525586870799E-4</v>
          </cell>
          <cell r="H279">
            <v>5.6495694816358299E-2</v>
          </cell>
          <cell r="I279">
            <v>0.15556095957635799</v>
          </cell>
          <cell r="J279"/>
          <cell r="K279"/>
        </row>
        <row r="280">
          <cell r="A280" t="str">
            <v>ITOT-SWHBIOBR</v>
          </cell>
          <cell r="B280" t="str">
            <v>VAR_cap</v>
          </cell>
          <cell r="C280" t="str">
            <v>-</v>
          </cell>
          <cell r="D280">
            <v>1.7013611085743299E-2</v>
          </cell>
          <cell r="E280">
            <v>3.0513634154197947E-2</v>
          </cell>
          <cell r="F280">
            <v>9.421114233943173E-2</v>
          </cell>
          <cell r="G280">
            <v>9.4330199513017826E-2</v>
          </cell>
          <cell r="H280">
            <v>0.10325066900842267</v>
          </cell>
          <cell r="I280">
            <v>0.2005680931943887</v>
          </cell>
          <cell r="J280"/>
          <cell r="K280"/>
        </row>
        <row r="281">
          <cell r="A281" t="str">
            <v>RHNS-SHPLTBR</v>
          </cell>
          <cell r="B281" t="str">
            <v>VAR_fout</v>
          </cell>
          <cell r="C281" t="str">
            <v>RHNS-SHPLT</v>
          </cell>
          <cell r="D281"/>
          <cell r="E281"/>
          <cell r="F281">
            <v>3.5357102302666569E-5</v>
          </cell>
          <cell r="G281">
            <v>2.3350796175819631E-5</v>
          </cell>
          <cell r="H281">
            <v>1.0024936912497108E-5</v>
          </cell>
          <cell r="I281"/>
          <cell r="J281"/>
        </row>
        <row r="282">
          <cell r="A282" t="str">
            <v>RHNS-SHPLTBR</v>
          </cell>
          <cell r="B282" t="str">
            <v>VAR_fin</v>
          </cell>
          <cell r="C282" t="str">
            <v>RPLT</v>
          </cell>
          <cell r="D282"/>
          <cell r="E282"/>
          <cell r="F282">
            <v>4.8340883527569623E-5</v>
          </cell>
          <cell r="G282">
            <v>3.1925639961908983E-5</v>
          </cell>
          <cell r="H282">
            <v>1.3706278967937569E-5</v>
          </cell>
          <cell r="I282"/>
          <cell r="J282"/>
          <cell r="K282"/>
        </row>
        <row r="283">
          <cell r="A283" t="str">
            <v>RHNS-SHPLTBR</v>
          </cell>
          <cell r="B283" t="str">
            <v>VAR_ncap</v>
          </cell>
          <cell r="C283" t="str">
            <v>-</v>
          </cell>
          <cell r="D283"/>
          <cell r="E283">
            <v>8.67863927938921E-6</v>
          </cell>
          <cell r="F283">
            <v>3.54235544139319E-4</v>
          </cell>
          <cell r="G283">
            <v>2.8231221703940099E-5</v>
          </cell>
          <cell r="H283">
            <v>1.39097264721385E-4</v>
          </cell>
          <cell r="I283">
            <v>1.24012300308143E-6</v>
          </cell>
          <cell r="J283"/>
          <cell r="K283"/>
        </row>
        <row r="284">
          <cell r="A284" t="str">
            <v>RHNS-SHPLTBR</v>
          </cell>
          <cell r="B284" t="str">
            <v>VAR_cap</v>
          </cell>
          <cell r="C284" t="str">
            <v>-</v>
          </cell>
          <cell r="D284"/>
          <cell r="E284">
            <v>8.67863927938921E-6</v>
          </cell>
          <cell r="F284">
            <v>3.6202420230458521E-4</v>
          </cell>
          <cell r="G284">
            <v>3.872598717671817E-4</v>
          </cell>
          <cell r="H284">
            <v>2.3961048769148818E-4</v>
          </cell>
          <cell r="I284">
            <v>3.0782907125880696E-5</v>
          </cell>
          <cell r="J284"/>
          <cell r="K284"/>
        </row>
        <row r="285">
          <cell r="A285" t="str">
            <v>D-RHNM_KEV_WOD_ELC_CHP</v>
          </cell>
          <cell r="B285" t="str">
            <v>VAR_fout</v>
          </cell>
          <cell r="C285" t="str">
            <v>ELC5</v>
          </cell>
          <cell r="D285"/>
          <cell r="E285"/>
          <cell r="F285"/>
          <cell r="G285">
            <v>1.1228283177675236E-3</v>
          </cell>
          <cell r="H285">
            <v>1.1514937021141666E-2</v>
          </cell>
          <cell r="I285">
            <v>5.263861468299498E-3</v>
          </cell>
          <cell r="J285"/>
          <cell r="K285"/>
        </row>
        <row r="286">
          <cell r="A286" t="str">
            <v>D-RHNM_KEV_WOD_ELC_CHP</v>
          </cell>
          <cell r="B286" t="str">
            <v>VAR_fout</v>
          </cell>
          <cell r="C286" t="str">
            <v>RHNM_ELC</v>
          </cell>
          <cell r="D286"/>
          <cell r="E286"/>
          <cell r="F286"/>
          <cell r="G286">
            <v>8.3560176978169146E-4</v>
          </cell>
          <cell r="H286">
            <v>1.1481112639724362E-2</v>
          </cell>
          <cell r="I286">
            <v>5.2555614038285398E-3</v>
          </cell>
          <cell r="J286"/>
        </row>
        <row r="287">
          <cell r="A287" t="str">
            <v>D-RHNM_KEV_WOD_ELC_CHP</v>
          </cell>
          <cell r="B287" t="str">
            <v>VAR_fin</v>
          </cell>
          <cell r="C287" t="str">
            <v>RHNM_KEV_WOD_ELC_CHP</v>
          </cell>
          <cell r="D287"/>
          <cell r="E287"/>
          <cell r="F287"/>
          <cell r="G287">
            <v>1.9474397345563843E-3</v>
          </cell>
          <cell r="H287">
            <v>2.2963660396084017E-2</v>
          </cell>
          <cell r="I287">
            <v>1.0499005877542976E-2</v>
          </cell>
          <cell r="J287"/>
          <cell r="K287"/>
        </row>
        <row r="288">
          <cell r="A288" t="str">
            <v>SCOM-SHLTHCHPNGA</v>
          </cell>
          <cell r="B288" t="str">
            <v>VAR_fout</v>
          </cell>
          <cell r="C288" t="str">
            <v>SCOM-SHLTHC-NGA</v>
          </cell>
          <cell r="D288">
            <v>0.6856720183403584</v>
          </cell>
          <cell r="E288">
            <v>0.74272271288110492</v>
          </cell>
          <cell r="F288"/>
          <cell r="G288"/>
          <cell r="H288"/>
          <cell r="I288"/>
          <cell r="J288"/>
        </row>
        <row r="289">
          <cell r="A289" t="str">
            <v>SCOM-SHLTHCHPNGA</v>
          </cell>
          <cell r="B289" t="str">
            <v>VAR_fin</v>
          </cell>
          <cell r="C289" t="str">
            <v>SCOMLTHCHPC</v>
          </cell>
          <cell r="D289">
            <v>0.6856720183403584</v>
          </cell>
          <cell r="E289">
            <v>0.74272271288110492</v>
          </cell>
          <cell r="F289"/>
          <cell r="G289"/>
          <cell r="H289"/>
          <cell r="I289"/>
          <cell r="J289"/>
          <cell r="K289"/>
        </row>
        <row r="290">
          <cell r="A290" t="str">
            <v>SCOM-SHLTHCHPNGA</v>
          </cell>
          <cell r="B290" t="str">
            <v>VAR_fin</v>
          </cell>
          <cell r="C290" t="str">
            <v>SCOM_LTH_CHPNGA_ON</v>
          </cell>
          <cell r="D290">
            <v>0.6925979983235937</v>
          </cell>
          <cell r="E290">
            <v>0.75022496250616677</v>
          </cell>
          <cell r="F290"/>
          <cell r="G290"/>
          <cell r="H290"/>
          <cell r="I290"/>
          <cell r="J290"/>
          <cell r="K290"/>
        </row>
        <row r="291">
          <cell r="A291" t="str">
            <v>SCOM-SHLTHCHPNGA</v>
          </cell>
          <cell r="B291" t="str">
            <v>VAR_ncap</v>
          </cell>
          <cell r="C291" t="str">
            <v>-</v>
          </cell>
          <cell r="D291">
            <v>2.1899370833134699E-7</v>
          </cell>
          <cell r="E291">
            <v>4.5045727615125597E-2</v>
          </cell>
          <cell r="F291">
            <v>3.2010610810456201E-3</v>
          </cell>
          <cell r="G291">
            <v>6.4584045019620202E-6</v>
          </cell>
          <cell r="H291">
            <v>0.25868041330734198</v>
          </cell>
          <cell r="I291">
            <v>8.2030226663883197E-4</v>
          </cell>
          <cell r="J291"/>
          <cell r="K291"/>
        </row>
        <row r="292">
          <cell r="A292" t="str">
            <v>SCOM-SHLTHCHPNGA</v>
          </cell>
          <cell r="B292" t="str">
            <v>VAR_cap</v>
          </cell>
          <cell r="C292" t="str">
            <v>-</v>
          </cell>
          <cell r="D292">
            <v>7.5969487952235237E-2</v>
          </cell>
          <cell r="E292">
            <v>5.7416849654663704E-2</v>
          </cell>
          <cell r="F292">
            <v>4.5257499352225061E-3</v>
          </cell>
          <cell r="G292">
            <v>1.1631221924074397E-6</v>
          </cell>
          <cell r="H292">
            <v>0.2591237567393318</v>
          </cell>
          <cell r="I292">
            <v>1.6805130699339976E-3</v>
          </cell>
          <cell r="J292"/>
          <cell r="K292"/>
        </row>
        <row r="293">
          <cell r="A293" t="str">
            <v>ITOT-PROCESSCO2</v>
          </cell>
          <cell r="B293" t="str">
            <v>VAR_fout</v>
          </cell>
          <cell r="C293" t="str">
            <v>CO2</v>
          </cell>
          <cell r="D293">
            <v>2089.34680048464</v>
          </cell>
          <cell r="E293">
            <v>2111.0131698740802</v>
          </cell>
          <cell r="F293">
            <v>2102.26947106126</v>
          </cell>
          <cell r="G293">
            <v>2093.6579792587099</v>
          </cell>
          <cell r="H293">
            <v>2077.4577516727099</v>
          </cell>
          <cell r="I293">
            <v>2063.7580725596099</v>
          </cell>
          <cell r="J293"/>
          <cell r="K293"/>
        </row>
        <row r="294">
          <cell r="A294" t="str">
            <v>ITOT-PROCESSCO2</v>
          </cell>
          <cell r="B294" t="str">
            <v>VAR_fout</v>
          </cell>
          <cell r="C294" t="str">
            <v>CO2P</v>
          </cell>
          <cell r="D294">
            <v>2089.34680048464</v>
          </cell>
          <cell r="E294">
            <v>2111.0131698740802</v>
          </cell>
          <cell r="F294">
            <v>2102.26947106126</v>
          </cell>
          <cell r="G294">
            <v>2093.6579792587145</v>
          </cell>
          <cell r="H294">
            <v>2077.4577516727099</v>
          </cell>
          <cell r="I294">
            <v>2063.7580725596131</v>
          </cell>
          <cell r="J294"/>
          <cell r="K294"/>
        </row>
        <row r="295">
          <cell r="A295" t="str">
            <v>RHNM-SHWODBR</v>
          </cell>
          <cell r="B295" t="str">
            <v>VAR_fout</v>
          </cell>
          <cell r="C295" t="str">
            <v>RHNM-SHWOD</v>
          </cell>
          <cell r="D295"/>
          <cell r="E295">
            <v>8.1146540974641343E-2</v>
          </cell>
          <cell r="F295">
            <v>3.8124721519358862E-4</v>
          </cell>
          <cell r="G295">
            <v>6.2645659158846708E-3</v>
          </cell>
          <cell r="H295">
            <v>9.6859210057466706E-3</v>
          </cell>
          <cell r="I295"/>
          <cell r="J295"/>
          <cell r="K295"/>
        </row>
        <row r="296">
          <cell r="A296" t="str">
            <v>RHNM-SHWODBR</v>
          </cell>
          <cell r="B296" t="str">
            <v>VAR_fin</v>
          </cell>
          <cell r="C296" t="str">
            <v>RHNMWODBRC</v>
          </cell>
          <cell r="D296"/>
          <cell r="E296">
            <v>8.1146540974641343E-2</v>
          </cell>
          <cell r="F296">
            <v>3.8124721519358862E-4</v>
          </cell>
          <cell r="G296">
            <v>6.2645659158846708E-3</v>
          </cell>
          <cell r="H296">
            <v>9.6859210057466706E-3</v>
          </cell>
          <cell r="I296"/>
          <cell r="J296"/>
          <cell r="K296"/>
        </row>
        <row r="297">
          <cell r="A297" t="str">
            <v>RHNM-SHWODBR</v>
          </cell>
          <cell r="B297" t="str">
            <v>VAR_fin</v>
          </cell>
          <cell r="C297" t="str">
            <v>RWOD</v>
          </cell>
          <cell r="D297"/>
          <cell r="E297">
            <v>0.11270352913144616</v>
          </cell>
          <cell r="F297">
            <v>4.9137338608755323E-4</v>
          </cell>
          <cell r="G297">
            <v>8.0741336429011358E-3</v>
          </cell>
          <cell r="H297">
            <v>1.2257970199424461E-2</v>
          </cell>
          <cell r="I297"/>
          <cell r="J297"/>
          <cell r="K297"/>
        </row>
        <row r="298">
          <cell r="A298" t="str">
            <v>RHNM-SHWODBR</v>
          </cell>
          <cell r="B298" t="str">
            <v>VAR_ncap</v>
          </cell>
          <cell r="C298" t="str">
            <v>-</v>
          </cell>
          <cell r="D298"/>
          <cell r="E298">
            <v>7.0449830662235001E-3</v>
          </cell>
          <cell r="F298">
            <v>2.9034926907614898E-5</v>
          </cell>
          <cell r="G298"/>
          <cell r="H298"/>
          <cell r="I298"/>
          <cell r="J298"/>
          <cell r="K298"/>
        </row>
        <row r="299">
          <cell r="A299" t="str">
            <v>RHNM-SHWODBR</v>
          </cell>
          <cell r="B299" t="str">
            <v>VAR_cap</v>
          </cell>
          <cell r="C299" t="str">
            <v>-</v>
          </cell>
          <cell r="D299"/>
          <cell r="E299">
            <v>7.0449830662235001E-3</v>
          </cell>
          <cell r="F299">
            <v>7.0583826499185558E-3</v>
          </cell>
          <cell r="G299">
            <v>7.0250691233124289E-3</v>
          </cell>
          <cell r="H299">
            <v>1.3561080591822654E-3</v>
          </cell>
          <cell r="I299">
            <v>1.4524804291474896E-4</v>
          </cell>
          <cell r="J299"/>
          <cell r="K299"/>
        </row>
        <row r="300">
          <cell r="A300" t="str">
            <v>RHNS-SHDEM</v>
          </cell>
          <cell r="B300" t="str">
            <v>VAR_fout</v>
          </cell>
          <cell r="C300" t="str">
            <v>RHNS-SHD</v>
          </cell>
          <cell r="D300"/>
          <cell r="E300">
            <v>0.40468474157116097</v>
          </cell>
          <cell r="F300">
            <v>1.3180269890421208</v>
          </cell>
          <cell r="G300">
            <v>2.5577729503402202</v>
          </cell>
          <cell r="H300">
            <v>3.7236448719642197</v>
          </cell>
          <cell r="I300">
            <v>4.2540366333256792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RHNS-SHLTHC-WOD</v>
          </cell>
          <cell r="D301"/>
          <cell r="E301"/>
          <cell r="F301">
            <v>4.5536170652069285E-4</v>
          </cell>
          <cell r="G301">
            <v>1.0966833430232345E-4</v>
          </cell>
          <cell r="H301">
            <v>2.5230953380919571E-3</v>
          </cell>
          <cell r="I301">
            <v>1.7144082128542934E-3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RHNS-SHLFO</v>
          </cell>
          <cell r="D302"/>
          <cell r="E302">
            <v>1.8977611398818847E-3</v>
          </cell>
          <cell r="F302">
            <v>3.1056250884374009E-2</v>
          </cell>
          <cell r="G302">
            <v>3.4729166196097255E-2</v>
          </cell>
          <cell r="H302">
            <v>2.5158713330393819E-2</v>
          </cell>
          <cell r="I302"/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RHNS-SHNGAH</v>
          </cell>
          <cell r="D303"/>
          <cell r="E303"/>
          <cell r="F303">
            <v>0.19243782354065936</v>
          </cell>
          <cell r="G303">
            <v>0.75555717895272423</v>
          </cell>
          <cell r="H303">
            <v>1.2630965778934875</v>
          </cell>
          <cell r="I303">
            <v>1.2192294981510534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RHNS-SHCON</v>
          </cell>
          <cell r="D304"/>
          <cell r="E304"/>
          <cell r="F304">
            <v>1.6612054401855075E-2</v>
          </cell>
          <cell r="G304">
            <v>0.10064120476337782</v>
          </cell>
          <cell r="H304">
            <v>9.9902434557212774E-2</v>
          </cell>
          <cell r="I304">
            <v>0.10055081063225624</v>
          </cell>
          <cell r="J304"/>
          <cell r="K304"/>
        </row>
        <row r="305">
          <cell r="A305" t="str">
            <v>RHNS-SHDEM</v>
          </cell>
          <cell r="B305" t="str">
            <v>VAR_fin</v>
          </cell>
          <cell r="C305" t="str">
            <v>RHNS-SHWOD</v>
          </cell>
          <cell r="D305"/>
          <cell r="E305">
            <v>2.5700062451045672E-2</v>
          </cell>
          <cell r="F305">
            <v>3.5208971129241464E-3</v>
          </cell>
          <cell r="G305">
            <v>8.5467257324554295E-3</v>
          </cell>
          <cell r="H305">
            <v>1.1753834190317199E-2</v>
          </cell>
          <cell r="I305">
            <v>1.1744460001560859E-2</v>
          </cell>
          <cell r="J305"/>
        </row>
        <row r="306">
          <cell r="A306" t="str">
            <v>RHNS-SHDEM</v>
          </cell>
          <cell r="B306" t="str">
            <v>VAR_fin</v>
          </cell>
          <cell r="C306" t="str">
            <v>RHNS-SHNST</v>
          </cell>
          <cell r="D306"/>
          <cell r="E306"/>
          <cell r="F306">
            <v>9.2318636907131322E-4</v>
          </cell>
          <cell r="G306">
            <v>7.1651753490020763E-4</v>
          </cell>
          <cell r="H306">
            <v>2.7710353610375753E-4</v>
          </cell>
          <cell r="I306"/>
          <cell r="J306"/>
          <cell r="K306"/>
        </row>
        <row r="307">
          <cell r="A307" t="str">
            <v>RHNS-SHDEM</v>
          </cell>
          <cell r="B307" t="str">
            <v>VAR_fin</v>
          </cell>
          <cell r="C307" t="str">
            <v>RHNS-SHPLT</v>
          </cell>
          <cell r="D307"/>
          <cell r="E307">
            <v>1.1147158638806346E-3</v>
          </cell>
          <cell r="F307">
            <v>2.9677761107265496E-3</v>
          </cell>
          <cell r="G307">
            <v>1.2943784193020674E-3</v>
          </cell>
          <cell r="H307">
            <v>4.4245758350846091E-3</v>
          </cell>
          <cell r="I307"/>
          <cell r="J307"/>
        </row>
        <row r="308">
          <cell r="A308" t="str">
            <v>RHNS-SHDEM</v>
          </cell>
          <cell r="B308" t="str">
            <v>VAR_fin</v>
          </cell>
          <cell r="C308" t="str">
            <v>RHNS-SHLTHD</v>
          </cell>
          <cell r="D308"/>
          <cell r="E308">
            <v>5.2380308024155782E-2</v>
          </cell>
          <cell r="F308">
            <v>7.0547108190475771E-2</v>
          </cell>
          <cell r="G308">
            <v>0.11305911515246632</v>
          </cell>
          <cell r="H308">
            <v>0.1494723497276283</v>
          </cell>
          <cell r="I308">
            <v>0.25515152774108174</v>
          </cell>
          <cell r="J308"/>
          <cell r="K308"/>
        </row>
        <row r="309">
          <cell r="A309" t="str">
            <v>RHNS-SHDEM</v>
          </cell>
          <cell r="B309" t="str">
            <v>VAR_fin</v>
          </cell>
          <cell r="C309" t="str">
            <v>RHNS-SHELCB</v>
          </cell>
          <cell r="D309"/>
          <cell r="E309">
            <v>6.7063304973029286E-2</v>
          </cell>
          <cell r="F309">
            <v>4.7578169268650636E-3</v>
          </cell>
          <cell r="G309">
            <v>6.8132209349846314E-3</v>
          </cell>
          <cell r="H309">
            <v>8.1010412464032067E-3</v>
          </cell>
          <cell r="I309">
            <v>5.823537599650529E-3</v>
          </cell>
          <cell r="J309"/>
          <cell r="K309"/>
        </row>
        <row r="310">
          <cell r="A310" t="str">
            <v>RHNS-SHDEM</v>
          </cell>
          <cell r="B310" t="str">
            <v>VAR_fin</v>
          </cell>
          <cell r="C310" t="str">
            <v>RHNS-SHELCH</v>
          </cell>
          <cell r="D310"/>
          <cell r="E310">
            <v>0.14153264648743283</v>
          </cell>
          <cell r="F310">
            <v>0.97612175063555962</v>
          </cell>
          <cell r="G310">
            <v>1.4968686956937556</v>
          </cell>
          <cell r="H310">
            <v>2.0988251071296005</v>
          </cell>
          <cell r="I310">
            <v>2.6086058748167829</v>
          </cell>
          <cell r="J310"/>
          <cell r="K310"/>
        </row>
        <row r="311">
          <cell r="A311" t="str">
            <v>RHNS-SHDEM</v>
          </cell>
          <cell r="B311" t="str">
            <v>VAR_fin</v>
          </cell>
          <cell r="C311" t="str">
            <v>RHNS-SHSOL</v>
          </cell>
          <cell r="D311"/>
          <cell r="E311">
            <v>1.3453163735444602E-2</v>
          </cell>
          <cell r="F311">
            <v>3.0693967271575697E-3</v>
          </cell>
          <cell r="G311">
            <v>2.8910366342869962E-3</v>
          </cell>
          <cell r="H311">
            <v>6.0366022018711919E-3</v>
          </cell>
          <cell r="I311">
            <v>6.794213420509003E-3</v>
          </cell>
          <cell r="J311"/>
        </row>
        <row r="312">
          <cell r="A312" t="str">
            <v>RHNS-SHDEM</v>
          </cell>
          <cell r="B312" t="str">
            <v>VAR_fin</v>
          </cell>
          <cell r="C312" t="str">
            <v>RHNS-SHLTHC-NGA</v>
          </cell>
          <cell r="D312"/>
          <cell r="E312">
            <v>2.0619204142722247E-3</v>
          </cell>
          <cell r="F312">
            <v>5.4043669848562073E-4</v>
          </cell>
          <cell r="G312"/>
          <cell r="H312">
            <v>8.2936050695947901E-6</v>
          </cell>
          <cell r="I312">
            <v>3.7496265051212405E-4</v>
          </cell>
          <cell r="J312"/>
        </row>
        <row r="313">
          <cell r="A313" t="str">
            <v>RHNS-SHDEM</v>
          </cell>
          <cell r="B313" t="str">
            <v>VAR_fin</v>
          </cell>
          <cell r="C313" t="str">
            <v>RHNS-SHNGA</v>
          </cell>
          <cell r="D313"/>
          <cell r="E313">
            <v>0.10011934699165592</v>
          </cell>
          <cell r="F313">
            <v>1.6125702741206255E-2</v>
          </cell>
          <cell r="G313">
            <v>3.7488200089943295E-2</v>
          </cell>
          <cell r="H313">
            <v>5.4869950321369952E-2</v>
          </cell>
          <cell r="I313">
            <v>4.4640564717128961E-2</v>
          </cell>
          <cell r="J313"/>
          <cell r="K313"/>
        </row>
        <row r="314">
          <cell r="A314" t="str">
            <v>RES-ELCSPEC</v>
          </cell>
          <cell r="B314" t="str">
            <v>VAR_fout</v>
          </cell>
          <cell r="C314" t="str">
            <v>RHSA-ELS</v>
          </cell>
          <cell r="D314">
            <v>44.576924536408704</v>
          </cell>
          <cell r="E314">
            <v>44.861193648329355</v>
          </cell>
          <cell r="F314">
            <v>44.557371874441195</v>
          </cell>
          <cell r="G314">
            <v>35.101849265356513</v>
          </cell>
          <cell r="H314">
            <v>20.665922607879065</v>
          </cell>
          <cell r="I314">
            <v>6.4453469770896206</v>
          </cell>
          <cell r="J314"/>
        </row>
        <row r="315">
          <cell r="A315" t="str">
            <v>RES-ELCSPEC</v>
          </cell>
          <cell r="B315" t="str">
            <v>VAR_fin</v>
          </cell>
          <cell r="C315" t="str">
            <v>RHSA_ELC</v>
          </cell>
          <cell r="D315">
            <v>44.576924536408704</v>
          </cell>
          <cell r="E315">
            <v>44.861193648329355</v>
          </cell>
          <cell r="F315">
            <v>44.557371874441195</v>
          </cell>
          <cell r="G315">
            <v>35.101849265356513</v>
          </cell>
          <cell r="H315">
            <v>20.665922607879065</v>
          </cell>
          <cell r="I315">
            <v>6.4453469770896206</v>
          </cell>
          <cell r="J315"/>
        </row>
        <row r="316">
          <cell r="A316" t="str">
            <v>RES-ELCSPEC</v>
          </cell>
          <cell r="B316" t="str">
            <v>VAR_ncap</v>
          </cell>
          <cell r="C316" t="str">
            <v>-</v>
          </cell>
          <cell r="D316">
            <v>0.193223526063388</v>
          </cell>
          <cell r="E316">
            <v>3.8418526162398099E-5</v>
          </cell>
          <cell r="F316">
            <v>3.2065307954847399E-5</v>
          </cell>
          <cell r="G316">
            <v>2.5956568751278099E-5</v>
          </cell>
          <cell r="H316">
            <v>2.3306701544649501E-5</v>
          </cell>
          <cell r="I316">
            <v>0.61812291352968296</v>
          </cell>
          <cell r="J316"/>
          <cell r="K316"/>
        </row>
        <row r="317">
          <cell r="A317" t="str">
            <v>RES-ELCSPEC</v>
          </cell>
          <cell r="B317" t="str">
            <v>VAR_cap</v>
          </cell>
          <cell r="C317" t="str">
            <v>-</v>
          </cell>
          <cell r="D317">
            <v>4.7117602101938578</v>
          </cell>
          <cell r="E317">
            <v>4.7418667007060211</v>
          </cell>
          <cell r="F317">
            <v>4.7097896893571107</v>
          </cell>
          <cell r="G317">
            <v>3.7103645673157368</v>
          </cell>
          <cell r="H317">
            <v>2.1854605933916398</v>
          </cell>
          <cell r="I317">
            <v>0.82017390303038185</v>
          </cell>
          <cell r="J317"/>
          <cell r="K317"/>
          <cell r="L317"/>
          <cell r="M317"/>
        </row>
        <row r="318">
          <cell r="A318" t="str">
            <v>SCOM-SHCONBR1</v>
          </cell>
          <cell r="B318" t="str">
            <v>VAR_fout</v>
          </cell>
          <cell r="C318" t="str">
            <v>SCOM-SHCON</v>
          </cell>
          <cell r="D318"/>
          <cell r="E318">
            <v>2.6178040905162159</v>
          </cell>
          <cell r="F318">
            <v>0.77612273125734932</v>
          </cell>
          <cell r="G318">
            <v>1.5756261482692759</v>
          </cell>
          <cell r="H318">
            <v>2.6176479625247402</v>
          </cell>
          <cell r="I318">
            <v>2.6178030298837283</v>
          </cell>
          <cell r="J318"/>
          <cell r="K318"/>
        </row>
        <row r="319">
          <cell r="A319" t="str">
            <v>SCOM-SHCONBR1</v>
          </cell>
          <cell r="B319" t="str">
            <v>VAR_fin</v>
          </cell>
          <cell r="C319" t="str">
            <v>CON</v>
          </cell>
          <cell r="D319"/>
          <cell r="E319">
            <v>2.6178040905162159</v>
          </cell>
          <cell r="F319">
            <v>0.77612273125734932</v>
          </cell>
          <cell r="G319">
            <v>1.5756261482692759</v>
          </cell>
          <cell r="H319">
            <v>2.6176479625247402</v>
          </cell>
          <cell r="I319">
            <v>2.6178030298837283</v>
          </cell>
          <cell r="J319"/>
        </row>
        <row r="320">
          <cell r="A320" t="str">
            <v>SCOM-SHCONBR1</v>
          </cell>
          <cell r="B320" t="str">
            <v>VAR_ncap</v>
          </cell>
          <cell r="C320" t="str">
            <v>-</v>
          </cell>
          <cell r="E320">
            <v>0.20243959965847499</v>
          </cell>
          <cell r="F320">
            <v>2.85864473110234E-6</v>
          </cell>
          <cell r="G320">
            <v>2.4589278773370201E-6</v>
          </cell>
          <cell r="H320">
            <v>9.9203268006626908E-3</v>
          </cell>
          <cell r="I320">
            <v>9.8551385647429199E-2</v>
          </cell>
          <cell r="J320"/>
        </row>
        <row r="321">
          <cell r="A321" t="str">
            <v>SCOM-SHCONBR1</v>
          </cell>
          <cell r="B321" t="str">
            <v>VAR_cap</v>
          </cell>
          <cell r="C321" t="str">
            <v>-</v>
          </cell>
          <cell r="D321"/>
          <cell r="E321">
            <v>0.20243959965847499</v>
          </cell>
          <cell r="F321">
            <v>0.20244069795077588</v>
          </cell>
          <cell r="G321">
            <v>0.2024406731339346</v>
          </cell>
          <cell r="H321">
            <v>0.21238042690301795</v>
          </cell>
          <cell r="I321">
            <v>0.22552327893732455</v>
          </cell>
          <cell r="J321"/>
          <cell r="K321"/>
        </row>
        <row r="322">
          <cell r="A322" t="str">
            <v>RHSA-WHSTG-SOL</v>
          </cell>
          <cell r="B322" t="str">
            <v>VAR_fout</v>
          </cell>
          <cell r="C322" t="str">
            <v>RHSA-WHASOL</v>
          </cell>
          <cell r="D322">
            <v>9.3627068259949982E-5</v>
          </cell>
          <cell r="E322">
            <v>2.7096537002409875E-5</v>
          </cell>
          <cell r="F322">
            <v>7.0813469100588403E-2</v>
          </cell>
          <cell r="G322">
            <v>0.50197537132739867</v>
          </cell>
          <cell r="H322">
            <v>1.04002164334894</v>
          </cell>
          <cell r="I322">
            <v>1.3268568864862456</v>
          </cell>
          <cell r="J322"/>
          <cell r="K322"/>
        </row>
        <row r="323">
          <cell r="A323" t="str">
            <v>RHSA-WHSTG-SOL</v>
          </cell>
          <cell r="B323" t="str">
            <v>VAR_fin</v>
          </cell>
          <cell r="C323" t="str">
            <v>RHSA-WHASOL</v>
          </cell>
          <cell r="D323">
            <v>4.0108923110711107E-6</v>
          </cell>
          <cell r="E323">
            <v>6.6901876920315797E-5</v>
          </cell>
          <cell r="F323">
            <v>7.0849675645262733E-2</v>
          </cell>
          <cell r="G323">
            <v>0.50201597368868434</v>
          </cell>
          <cell r="H323">
            <v>1.0400768039488617</v>
          </cell>
          <cell r="I323">
            <v>1.3269296637963637</v>
          </cell>
          <cell r="J323"/>
        </row>
        <row r="324">
          <cell r="A324" t="str">
            <v>RHSA-WHSTG-SOL</v>
          </cell>
          <cell r="B324" t="str">
            <v>VAR_ncap</v>
          </cell>
          <cell r="C324" t="str">
            <v>-</v>
          </cell>
          <cell r="D324">
            <v>6.7003298077065204E-2</v>
          </cell>
          <cell r="E324">
            <v>1.1480261162155401E-2</v>
          </cell>
          <cell r="F324">
            <v>8.8511856468006908E-6</v>
          </cell>
          <cell r="G324">
            <v>2.6284682513767501E-2</v>
          </cell>
          <cell r="H324">
            <v>7.18275934179399E-2</v>
          </cell>
          <cell r="I324">
            <v>0.143109845791909</v>
          </cell>
          <cell r="J324"/>
        </row>
        <row r="325">
          <cell r="A325" t="str">
            <v>RHSA-WHSTG-SOL</v>
          </cell>
          <cell r="B325" t="str">
            <v>VAR_cap</v>
          </cell>
          <cell r="C325" t="str">
            <v>-</v>
          </cell>
          <cell r="D325">
            <v>6.7004360630028806E-2</v>
          </cell>
          <cell r="E325">
            <v>7.8484621792184295E-2</v>
          </cell>
          <cell r="F325">
            <v>7.8493472977831102E-2</v>
          </cell>
          <cell r="G325">
            <v>0.10477815549159861</v>
          </cell>
          <cell r="H325">
            <v>0.18763801019837201</v>
          </cell>
          <cell r="I325">
            <v>0.23663042889151301</v>
          </cell>
          <cell r="J325"/>
        </row>
        <row r="326">
          <cell r="A326" t="str">
            <v>SCOM-SHCONBR2</v>
          </cell>
          <cell r="B326" t="str">
            <v>VAR_fout</v>
          </cell>
          <cell r="C326" t="str">
            <v>SCOM-SHCON</v>
          </cell>
          <cell r="D326"/>
          <cell r="E326">
            <v>4.0772442470870214</v>
          </cell>
          <cell r="F326">
            <v>1.0057318853285122</v>
          </cell>
          <cell r="G326">
            <v>2.4898984994475617</v>
          </cell>
          <cell r="H326">
            <v>4.07709056285535</v>
          </cell>
          <cell r="I326">
            <v>4.0772532788236857</v>
          </cell>
          <cell r="J326"/>
          <cell r="K326"/>
        </row>
        <row r="327">
          <cell r="A327" t="str">
            <v>SCOM-SHCONBR2</v>
          </cell>
          <cell r="B327" t="str">
            <v>VAR_fin</v>
          </cell>
          <cell r="C327" t="str">
            <v>CON</v>
          </cell>
          <cell r="D327"/>
          <cell r="E327">
            <v>4.0772442470870214</v>
          </cell>
          <cell r="F327">
            <v>1.0057318853285122</v>
          </cell>
          <cell r="G327">
            <v>2.4898984994475617</v>
          </cell>
          <cell r="H327">
            <v>4.07709056285535</v>
          </cell>
          <cell r="I327">
            <v>4.0772532788236857</v>
          </cell>
          <cell r="J327"/>
          <cell r="K327"/>
        </row>
        <row r="328">
          <cell r="A328" t="str">
            <v>SCOM-SHCONBR2</v>
          </cell>
          <cell r="B328" t="str">
            <v>VAR_ncap</v>
          </cell>
          <cell r="C328" t="str">
            <v>-</v>
          </cell>
          <cell r="D328"/>
          <cell r="E328">
            <v>0.315202486880162</v>
          </cell>
          <cell r="F328">
            <v>2.6612400078720598E-6</v>
          </cell>
          <cell r="G328">
            <v>2.2803467400890301E-6</v>
          </cell>
          <cell r="H328">
            <v>1.24175226228433E-2</v>
          </cell>
          <cell r="I328">
            <v>0.14218285838835701</v>
          </cell>
          <cell r="J328"/>
        </row>
        <row r="329">
          <cell r="A329" t="str">
            <v>SCOM-SHCONBR2</v>
          </cell>
          <cell r="B329" t="str">
            <v>VAR_cap</v>
          </cell>
          <cell r="C329" t="str">
            <v>-</v>
          </cell>
          <cell r="D329"/>
          <cell r="E329">
            <v>0.315202486880162</v>
          </cell>
          <cell r="F329">
            <v>0.31520339018793608</v>
          </cell>
          <cell r="G329">
            <v>0.31520323709404835</v>
          </cell>
          <cell r="H329">
            <v>0.32763951930985258</v>
          </cell>
          <cell r="I329">
            <v>0.3368393976088116</v>
          </cell>
          <cell r="J329"/>
          <cell r="K329"/>
        </row>
        <row r="330">
          <cell r="A330" t="str">
            <v>SCOM-SHCONBR3</v>
          </cell>
          <cell r="B330" t="str">
            <v>VAR_fout</v>
          </cell>
          <cell r="C330" t="str">
            <v>SCOM-SHCON</v>
          </cell>
          <cell r="D330"/>
          <cell r="E330">
            <v>2.3739411381090014</v>
          </cell>
          <cell r="F330">
            <v>0.62549428534472895</v>
          </cell>
          <cell r="G330">
            <v>1.3145108537855235</v>
          </cell>
          <cell r="H330">
            <v>3.2705546752962666</v>
          </cell>
          <cell r="I330">
            <v>3.2761473957143634</v>
          </cell>
          <cell r="J330"/>
          <cell r="K330"/>
        </row>
        <row r="331">
          <cell r="A331" t="str">
            <v>SCOM-SHCONBR3</v>
          </cell>
          <cell r="B331" t="str">
            <v>VAR_fin</v>
          </cell>
          <cell r="C331" t="str">
            <v>CON</v>
          </cell>
          <cell r="D331"/>
          <cell r="E331">
            <v>2.3739411381090014</v>
          </cell>
          <cell r="F331">
            <v>0.62549428534472895</v>
          </cell>
          <cell r="G331">
            <v>1.3145108537855235</v>
          </cell>
          <cell r="H331">
            <v>3.2705546752962666</v>
          </cell>
          <cell r="I331">
            <v>3.2761473957143634</v>
          </cell>
          <cell r="J331"/>
        </row>
        <row r="332">
          <cell r="A332" t="str">
            <v>SCOM-SHCONBR3</v>
          </cell>
          <cell r="B332" t="str">
            <v>VAR_ncap</v>
          </cell>
          <cell r="C332" t="str">
            <v>-</v>
          </cell>
          <cell r="D332"/>
          <cell r="E332">
            <v>0.18354387491023799</v>
          </cell>
          <cell r="F332">
            <v>1.89788222857482E-6</v>
          </cell>
          <cell r="G332">
            <v>1.56582994067089E-6</v>
          </cell>
          <cell r="H332">
            <v>7.1537766713417397E-2</v>
          </cell>
          <cell r="I332">
            <v>8.1129791425950698E-2</v>
          </cell>
          <cell r="J332"/>
          <cell r="K332"/>
        </row>
        <row r="333">
          <cell r="A333" t="str">
            <v>SCOM-SHCONBR3</v>
          </cell>
          <cell r="B333" t="str">
            <v>VAR_cap</v>
          </cell>
          <cell r="C333" t="str">
            <v>-</v>
          </cell>
          <cell r="D333"/>
          <cell r="E333">
            <v>0.18354387491023799</v>
          </cell>
          <cell r="F333">
            <v>0.18354443250052216</v>
          </cell>
          <cell r="G333">
            <v>0.18354423327364569</v>
          </cell>
          <cell r="H333">
            <v>0.25509828330360462</v>
          </cell>
          <cell r="I333">
            <v>0.25879181877427232</v>
          </cell>
          <cell r="J333"/>
          <cell r="K333"/>
        </row>
        <row r="334">
          <cell r="A334" t="str">
            <v>SCOM-SHCONBR4</v>
          </cell>
          <cell r="B334" t="str">
            <v>VAR_fout</v>
          </cell>
          <cell r="C334" t="str">
            <v>SCOM-SHCON</v>
          </cell>
          <cell r="D334"/>
          <cell r="E334">
            <v>1.7690602406293617E-2</v>
          </cell>
          <cell r="F334">
            <v>8.7134451953027117E-3</v>
          </cell>
          <cell r="G334">
            <v>9.2927443070379475E-3</v>
          </cell>
          <cell r="H334">
            <v>0.16953948010348638</v>
          </cell>
          <cell r="I334">
            <v>3.4304096836253786</v>
          </cell>
          <cell r="J334"/>
          <cell r="K334"/>
        </row>
        <row r="335">
          <cell r="A335" t="str">
            <v>SCOM-SHCONBR4</v>
          </cell>
          <cell r="B335" t="str">
            <v>VAR_fin</v>
          </cell>
          <cell r="C335" t="str">
            <v>CON</v>
          </cell>
          <cell r="D335"/>
          <cell r="E335">
            <v>1.7690602406293617E-2</v>
          </cell>
          <cell r="F335">
            <v>8.7134451953027117E-3</v>
          </cell>
          <cell r="G335">
            <v>9.2927443070379475E-3</v>
          </cell>
          <cell r="H335">
            <v>0.16953948010348638</v>
          </cell>
          <cell r="I335">
            <v>3.4304096836253786</v>
          </cell>
          <cell r="J335"/>
          <cell r="K335"/>
        </row>
        <row r="336">
          <cell r="A336" t="str">
            <v>SCOM-SHCONBR4</v>
          </cell>
          <cell r="B336" t="str">
            <v>VAR_ncap</v>
          </cell>
          <cell r="C336" t="str">
            <v>-</v>
          </cell>
          <cell r="D336"/>
          <cell r="E336">
            <v>1.46050576401821E-3</v>
          </cell>
          <cell r="F336">
            <v>1.63336453012513E-6</v>
          </cell>
          <cell r="G336">
            <v>1.34883707475039E-6</v>
          </cell>
          <cell r="H336">
            <v>1.19247983031311E-2</v>
          </cell>
          <cell r="I336">
            <v>0.25245965729924102</v>
          </cell>
          <cell r="J336"/>
          <cell r="K336"/>
        </row>
        <row r="337">
          <cell r="A337" t="str">
            <v>SCOM-SHCONBR4</v>
          </cell>
          <cell r="B337" t="str">
            <v>VAR_cap</v>
          </cell>
          <cell r="C337" t="str">
            <v>-</v>
          </cell>
          <cell r="D337"/>
          <cell r="E337">
            <v>1.46050576401821E-3</v>
          </cell>
          <cell r="F337">
            <v>1.4612313833464448E-3</v>
          </cell>
          <cell r="G337">
            <v>1.4611803796573646E-3</v>
          </cell>
          <cell r="H337">
            <v>1.3405078846515095E-2</v>
          </cell>
          <cell r="I337">
            <v>0.26524919049735673</v>
          </cell>
          <cell r="J337"/>
          <cell r="K337"/>
        </row>
        <row r="338">
          <cell r="A338" t="str">
            <v>RHEM-SHNGABR</v>
          </cell>
          <cell r="B338" t="str">
            <v>VAR_fout</v>
          </cell>
          <cell r="C338" t="str">
            <v>CO2_R</v>
          </cell>
          <cell r="D338">
            <v>1127.96519383033</v>
          </cell>
          <cell r="E338">
            <v>1140.95018576896</v>
          </cell>
          <cell r="F338">
            <v>1234.19418774889</v>
          </cell>
          <cell r="G338">
            <v>832.91952235982001</v>
          </cell>
          <cell r="H338">
            <v>194.405605121577</v>
          </cell>
          <cell r="I338">
            <v>104.751365134975</v>
          </cell>
          <cell r="J338"/>
          <cell r="K338"/>
        </row>
        <row r="339">
          <cell r="A339" t="str">
            <v>RHEM-SHNGABR</v>
          </cell>
          <cell r="B339" t="str">
            <v>VAR_fout</v>
          </cell>
          <cell r="C339" t="str">
            <v>RHEM-SHNGA</v>
          </cell>
          <cell r="D339">
            <v>18.999413725865544</v>
          </cell>
          <cell r="E339">
            <v>19.218132561711155</v>
          </cell>
          <cell r="F339">
            <v>20.497101316611104</v>
          </cell>
          <cell r="G339">
            <v>13.845676672472859</v>
          </cell>
          <cell r="H339">
            <v>3.2316173166451319</v>
          </cell>
          <cell r="I339">
            <v>1.7412889165448755</v>
          </cell>
          <cell r="J339"/>
        </row>
        <row r="340">
          <cell r="A340" t="str">
            <v>RHEM-SHNGABR</v>
          </cell>
          <cell r="B340" t="str">
            <v>VAR_fin</v>
          </cell>
          <cell r="C340" t="str">
            <v>RNGA</v>
          </cell>
          <cell r="D340">
            <v>19.999382869332159</v>
          </cell>
          <cell r="E340">
            <v>20.229613222853867</v>
          </cell>
          <cell r="F340">
            <v>21.882875669306603</v>
          </cell>
          <cell r="G340">
            <v>14.768076637585466</v>
          </cell>
          <cell r="H340">
            <v>3.4469078922265379</v>
          </cell>
          <cell r="I340">
            <v>1.8572937080669285</v>
          </cell>
          <cell r="J340"/>
          <cell r="K340"/>
        </row>
        <row r="341">
          <cell r="A341" t="str">
            <v>RHEM-SHNGABR</v>
          </cell>
          <cell r="B341" t="str">
            <v>VAR_ncap</v>
          </cell>
          <cell r="C341" t="str">
            <v>-</v>
          </cell>
          <cell r="D341"/>
          <cell r="E341">
            <v>1.9316871300768899E-2</v>
          </cell>
          <cell r="F341">
            <v>8.1633893515785594E-2</v>
          </cell>
          <cell r="G341">
            <v>8.2148736907150203E-6</v>
          </cell>
          <cell r="H341">
            <v>6.65245155430675E-2</v>
          </cell>
          <cell r="I341">
            <v>1.26212151789022E-2</v>
          </cell>
          <cell r="J341"/>
          <cell r="K341"/>
        </row>
        <row r="342">
          <cell r="A342" t="str">
            <v>RHEM-SHNGABR</v>
          </cell>
          <cell r="B342" t="str">
            <v>VAR_cap</v>
          </cell>
          <cell r="C342" t="str">
            <v>-</v>
          </cell>
          <cell r="D342">
            <v>1.34683498965227</v>
          </cell>
          <cell r="E342">
            <v>1.3661497630212214</v>
          </cell>
          <cell r="F342">
            <v>1.4477799759040517</v>
          </cell>
          <cell r="G342">
            <v>1.4476764128192772</v>
          </cell>
          <cell r="H342">
            <v>0.2293639495432771</v>
          </cell>
          <cell r="I342">
            <v>0.12366139859998078</v>
          </cell>
          <cell r="J342"/>
        </row>
        <row r="343">
          <cell r="A343" t="str">
            <v>RHNS-SHCONBR1</v>
          </cell>
          <cell r="B343" t="str">
            <v>VAR_ncap</v>
          </cell>
          <cell r="C343" t="str">
            <v>-</v>
          </cell>
          <cell r="D343"/>
          <cell r="F343">
            <v>375</v>
          </cell>
          <cell r="G343">
            <v>5.1938897224059</v>
          </cell>
          <cell r="H343"/>
          <cell r="I343"/>
          <cell r="J343"/>
        </row>
        <row r="344">
          <cell r="A344" t="str">
            <v>RHNS-SHCONBR1</v>
          </cell>
          <cell r="B344" t="str">
            <v>VAR_cap</v>
          </cell>
          <cell r="C344" t="str">
            <v>-</v>
          </cell>
          <cell r="D344"/>
          <cell r="F344">
            <v>375</v>
          </cell>
          <cell r="G344">
            <v>13.317403382832026</v>
          </cell>
          <cell r="H344">
            <v>6.9365975379429869</v>
          </cell>
          <cell r="I344">
            <v>3.1099432923010113</v>
          </cell>
          <cell r="J344"/>
        </row>
        <row r="345">
          <cell r="A345" t="str">
            <v>SCOM-SHCONBR5</v>
          </cell>
          <cell r="B345" t="str">
            <v>VAR_fout</v>
          </cell>
          <cell r="C345" t="str">
            <v>SCOM-SHCON</v>
          </cell>
          <cell r="D345"/>
          <cell r="E345">
            <v>1.4322341150568721E-2</v>
          </cell>
          <cell r="F345">
            <v>7.1316292595145553E-3</v>
          </cell>
          <cell r="G345">
            <v>7.5708347800355702E-3</v>
          </cell>
          <cell r="H345">
            <v>1.4058839431018972E-2</v>
          </cell>
          <cell r="I345">
            <v>1.7506945381930523</v>
          </cell>
          <cell r="J345"/>
          <cell r="K345"/>
        </row>
        <row r="346">
          <cell r="A346" t="str">
            <v>SCOM-SHCONBR5</v>
          </cell>
          <cell r="B346" t="str">
            <v>VAR_fin</v>
          </cell>
          <cell r="C346" t="str">
            <v>CON</v>
          </cell>
          <cell r="D346"/>
          <cell r="E346">
            <v>1.4322341150568721E-2</v>
          </cell>
          <cell r="F346">
            <v>7.1316292595145553E-3</v>
          </cell>
          <cell r="G346">
            <v>7.5708347800355702E-3</v>
          </cell>
          <cell r="H346">
            <v>1.4058839431018972E-2</v>
          </cell>
          <cell r="I346">
            <v>1.7506945381930523</v>
          </cell>
          <cell r="J346"/>
          <cell r="K346"/>
        </row>
        <row r="347">
          <cell r="A347" t="str">
            <v>SCOM-SHCONBR5</v>
          </cell>
          <cell r="B347" t="str">
            <v>VAR_ncap</v>
          </cell>
          <cell r="C347" t="str">
            <v>-</v>
          </cell>
          <cell r="D347"/>
          <cell r="E347">
            <v>1.1966165052642E-3</v>
          </cell>
          <cell r="F347">
            <v>1.5702373614915399E-6</v>
          </cell>
          <cell r="G347">
            <v>1.29480362227883E-6</v>
          </cell>
          <cell r="H347">
            <v>9.2223666840539399E-5</v>
          </cell>
          <cell r="I347">
            <v>0.13464152454533701</v>
          </cell>
          <cell r="J347"/>
          <cell r="K347"/>
        </row>
        <row r="348">
          <cell r="A348" t="str">
            <v>SCOM-SHCONBR5</v>
          </cell>
          <cell r="B348" t="str">
            <v>VAR_cap</v>
          </cell>
          <cell r="C348" t="str">
            <v>-</v>
          </cell>
          <cell r="D348"/>
          <cell r="E348">
            <v>1.1966165052642E-3</v>
          </cell>
          <cell r="F348">
            <v>1.1973494192892712E-3</v>
          </cell>
          <cell r="G348">
            <v>1.1973335079391333E-3</v>
          </cell>
          <cell r="H348">
            <v>1.3078451477953358E-3</v>
          </cell>
          <cell r="I348">
            <v>0.1354450634697579</v>
          </cell>
          <cell r="J348"/>
          <cell r="K348"/>
        </row>
        <row r="349">
          <cell r="A349" t="str">
            <v>RHNS-SHCONBR2</v>
          </cell>
          <cell r="B349" t="str">
            <v>VAR_ncap</v>
          </cell>
          <cell r="C349" t="str">
            <v>-</v>
          </cell>
          <cell r="D349"/>
          <cell r="F349">
            <v>375</v>
          </cell>
          <cell r="G349">
            <v>5.1938897224060199</v>
          </cell>
          <cell r="H349"/>
          <cell r="I349"/>
          <cell r="J349"/>
          <cell r="K349"/>
        </row>
        <row r="350">
          <cell r="A350" t="str">
            <v>RHNS-SHCONBR2</v>
          </cell>
          <cell r="B350" t="str">
            <v>VAR_cap</v>
          </cell>
          <cell r="C350" t="str">
            <v>-</v>
          </cell>
          <cell r="D350"/>
          <cell r="F350">
            <v>375</v>
          </cell>
          <cell r="G350">
            <v>13.317403382829013</v>
          </cell>
          <cell r="H350">
            <v>6.9365975379409974</v>
          </cell>
          <cell r="I350">
            <v>3.109943292300045</v>
          </cell>
          <cell r="J350"/>
          <cell r="K350"/>
        </row>
        <row r="351">
          <cell r="A351" t="str">
            <v>RHES-SHSTG-ELCHP</v>
          </cell>
          <cell r="B351" t="str">
            <v>VAR_fout</v>
          </cell>
          <cell r="C351" t="str">
            <v>RHES-SHAELCH</v>
          </cell>
          <cell r="D351">
            <v>1.3955482511584024E-5</v>
          </cell>
          <cell r="E351">
            <v>1.5652059153751896E-5</v>
          </cell>
          <cell r="F351">
            <v>0.92694977727135186</v>
          </cell>
          <cell r="G351">
            <v>1.2916303742573465</v>
          </cell>
          <cell r="H351">
            <v>1.7551691578486741</v>
          </cell>
          <cell r="I351">
            <v>2.3290074042121343</v>
          </cell>
          <cell r="J351"/>
          <cell r="K351"/>
        </row>
        <row r="352">
          <cell r="A352" t="str">
            <v>RHES-SHSTG-ELCHP</v>
          </cell>
          <cell r="B352" t="str">
            <v>VAR_fin</v>
          </cell>
          <cell r="C352" t="str">
            <v>RHES-SHAELCH</v>
          </cell>
          <cell r="D352">
            <v>5.0541681240551583E-5</v>
          </cell>
          <cell r="E352">
            <v>4.4039347001318599E-5</v>
          </cell>
          <cell r="F352">
            <v>0.92697459010414596</v>
          </cell>
          <cell r="G352">
            <v>1.2916691268344529</v>
          </cell>
          <cell r="H352">
            <v>1.7552354301505506</v>
          </cell>
          <cell r="I352">
            <v>2.3290746439843608</v>
          </cell>
          <cell r="J352"/>
          <cell r="K352"/>
        </row>
        <row r="353">
          <cell r="A353" t="str">
            <v>RHES-SHSTG-ELCHP</v>
          </cell>
          <cell r="B353" t="str">
            <v>VAR_ncap</v>
          </cell>
          <cell r="C353" t="str">
            <v>-</v>
          </cell>
          <cell r="D353">
            <v>4.6844706101838503E-2</v>
          </cell>
          <cell r="E353">
            <v>0.100223331961074</v>
          </cell>
          <cell r="F353">
            <v>0.14277880345345501</v>
          </cell>
          <cell r="G353">
            <v>0.112702938436232</v>
          </cell>
          <cell r="H353">
            <v>0.23783626256352899</v>
          </cell>
          <cell r="I353">
            <v>0.17235352204163601</v>
          </cell>
          <cell r="J353"/>
          <cell r="K353"/>
        </row>
        <row r="354">
          <cell r="A354" t="str">
            <v>RHES-SHSTG-ELCHP</v>
          </cell>
          <cell r="B354" t="str">
            <v>VAR_cap</v>
          </cell>
          <cell r="C354" t="str">
            <v>-</v>
          </cell>
          <cell r="D354">
            <v>4.6844706101838503E-2</v>
          </cell>
          <cell r="E354">
            <v>0.1465008079965632</v>
          </cell>
          <cell r="F354">
            <v>0.28909407583455859</v>
          </cell>
          <cell r="G354">
            <v>0.40157829708344006</v>
          </cell>
          <cell r="H354">
            <v>0.4478151035316274</v>
          </cell>
          <cell r="I354">
            <v>0.39038134358074006</v>
          </cell>
          <cell r="J354"/>
          <cell r="K354"/>
        </row>
        <row r="355">
          <cell r="A355" t="str">
            <v>SCOM-SHCONBR6</v>
          </cell>
          <cell r="B355" t="str">
            <v>VAR_fout</v>
          </cell>
          <cell r="C355" t="str">
            <v>SCOM-SHCON</v>
          </cell>
          <cell r="D355"/>
          <cell r="E355">
            <v>8.6587083751835572E-3</v>
          </cell>
          <cell r="F355">
            <v>4.4424435845711692E-3</v>
          </cell>
          <cell r="G355">
            <v>4.6854494458702977E-3</v>
          </cell>
          <cell r="H355">
            <v>7.9386478711178654E-3</v>
          </cell>
          <cell r="I355">
            <v>8.7092383682149544E-3</v>
          </cell>
          <cell r="J355"/>
          <cell r="K355"/>
        </row>
        <row r="356">
          <cell r="A356" t="str">
            <v>SCOM-SHCONBR6</v>
          </cell>
          <cell r="B356" t="str">
            <v>VAR_fin</v>
          </cell>
          <cell r="C356" t="str">
            <v>CON</v>
          </cell>
          <cell r="D356"/>
          <cell r="E356">
            <v>8.6587083751835572E-3</v>
          </cell>
          <cell r="F356">
            <v>4.4424435845711692E-3</v>
          </cell>
          <cell r="G356">
            <v>4.6854494458702977E-3</v>
          </cell>
          <cell r="H356">
            <v>7.9386478711178654E-3</v>
          </cell>
          <cell r="I356">
            <v>8.7092383682149544E-3</v>
          </cell>
          <cell r="J356"/>
          <cell r="K356"/>
        </row>
        <row r="357">
          <cell r="A357" t="str">
            <v>SCOM-SHCONBR6</v>
          </cell>
          <cell r="B357" t="str">
            <v>VAR_ncap</v>
          </cell>
          <cell r="C357" t="str">
            <v>-</v>
          </cell>
          <cell r="D357"/>
          <cell r="E357">
            <v>7.4907248782193404E-4</v>
          </cell>
          <cell r="F357">
            <v>1.40293862953951E-6</v>
          </cell>
          <cell r="G357">
            <v>1.15471575225148E-6</v>
          </cell>
          <cell r="H357">
            <v>2.4331173909825198E-5</v>
          </cell>
          <cell r="I357">
            <v>2.9882382739385399E-4</v>
          </cell>
          <cell r="J357"/>
          <cell r="K357"/>
        </row>
        <row r="358">
          <cell r="A358" t="str">
            <v>SCOM-SHCONBR6</v>
          </cell>
          <cell r="B358" t="str">
            <v>VAR_cap</v>
          </cell>
          <cell r="C358" t="str">
            <v>-</v>
          </cell>
          <cell r="E358">
            <v>7.4907248782193404E-4</v>
          </cell>
          <cell r="F358">
            <v>7.4979936863185908E-4</v>
          </cell>
          <cell r="G358">
            <v>7.4986001329299396E-4</v>
          </cell>
          <cell r="H358">
            <v>7.9440803507077975E-4</v>
          </cell>
          <cell r="I358">
            <v>7.7768833652317848E-4</v>
          </cell>
          <cell r="J358"/>
          <cell r="K358"/>
        </row>
        <row r="359">
          <cell r="A359" t="str">
            <v>RHNM-SHDEM</v>
          </cell>
          <cell r="B359" t="str">
            <v>VAR_fout</v>
          </cell>
          <cell r="C359" t="str">
            <v>RHNM-SHD</v>
          </cell>
          <cell r="D359"/>
          <cell r="E359">
            <v>1.20715021831532</v>
          </cell>
          <cell r="F359">
            <v>1.3923392734427207</v>
          </cell>
          <cell r="G359">
            <v>2.6106640724915406</v>
          </cell>
          <cell r="H359">
            <v>3.7642595523925788</v>
          </cell>
          <cell r="I359">
            <v>4.1434068474585377</v>
          </cell>
          <cell r="J359"/>
          <cell r="K359"/>
        </row>
        <row r="360">
          <cell r="A360" t="str">
            <v>RHNM-SHDEM</v>
          </cell>
          <cell r="B360" t="str">
            <v>VAR_fin</v>
          </cell>
          <cell r="C360" t="str">
            <v>RHNM-SHLFO</v>
          </cell>
          <cell r="D360"/>
          <cell r="E360">
            <v>3.3084862025416516E-2</v>
          </cell>
          <cell r="F360">
            <v>9.1770131144313233E-2</v>
          </cell>
          <cell r="G360">
            <v>9.5516141766613716E-2</v>
          </cell>
          <cell r="H360">
            <v>3.8948139624344923E-2</v>
          </cell>
          <cell r="I360"/>
          <cell r="J360"/>
          <cell r="K360"/>
        </row>
        <row r="361">
          <cell r="A361" t="str">
            <v>RHNM-SHDEM</v>
          </cell>
          <cell r="B361" t="str">
            <v>VAR_fin</v>
          </cell>
          <cell r="C361" t="str">
            <v>RHNM-SHLTHD</v>
          </cell>
          <cell r="D361"/>
          <cell r="E361">
            <v>0.23423766874795429</v>
          </cell>
          <cell r="F361">
            <v>0.13277202986460929</v>
          </cell>
          <cell r="G361">
            <v>0.16516753209866869</v>
          </cell>
          <cell r="H361">
            <v>0.26331035286846682</v>
          </cell>
          <cell r="I361">
            <v>0.50457173821715973</v>
          </cell>
          <cell r="J361"/>
          <cell r="K361"/>
        </row>
        <row r="362">
          <cell r="A362" t="str">
            <v>RHNM-SHDEM</v>
          </cell>
          <cell r="B362" t="str">
            <v>VAR_fin</v>
          </cell>
          <cell r="C362" t="str">
            <v>RHNM-SHCON</v>
          </cell>
          <cell r="D362"/>
          <cell r="F362">
            <v>1.7794771406682747E-2</v>
          </cell>
          <cell r="G362">
            <v>0.12735734740581964</v>
          </cell>
          <cell r="H362">
            <v>0.12625392666464494</v>
          </cell>
          <cell r="I362">
            <v>0.12671210632774302</v>
          </cell>
          <cell r="J362"/>
          <cell r="K362"/>
        </row>
        <row r="363">
          <cell r="A363" t="str">
            <v>RHNM-SHDEM</v>
          </cell>
          <cell r="B363" t="str">
            <v>VAR_fin</v>
          </cell>
          <cell r="C363" t="str">
            <v>RHNM-SHELCB</v>
          </cell>
          <cell r="D363"/>
          <cell r="E363">
            <v>0.11749967697475014</v>
          </cell>
          <cell r="F363">
            <v>3.5718792871458284E-3</v>
          </cell>
          <cell r="G363">
            <v>1.8196681887928856E-3</v>
          </cell>
          <cell r="H363">
            <v>6.9830494802526778E-3</v>
          </cell>
          <cell r="I363">
            <v>6.1774016420946248E-3</v>
          </cell>
          <cell r="J363"/>
          <cell r="K363"/>
        </row>
        <row r="364">
          <cell r="A364" t="str">
            <v>RHNM-SHDEM</v>
          </cell>
          <cell r="B364" t="str">
            <v>VAR_fin</v>
          </cell>
          <cell r="C364" t="str">
            <v>RHNM-SHWOD</v>
          </cell>
          <cell r="D364"/>
          <cell r="E364">
            <v>6.986477494600063E-2</v>
          </cell>
          <cell r="F364">
            <v>3.4768469896759957E-3</v>
          </cell>
          <cell r="G364">
            <v>6.5958176359135661E-3</v>
          </cell>
          <cell r="H364">
            <v>1.2630269590426955E-2</v>
          </cell>
          <cell r="I364">
            <v>3.6881862282938252E-3</v>
          </cell>
          <cell r="J364"/>
        </row>
        <row r="365">
          <cell r="A365" t="str">
            <v>RHNM-SHDEM</v>
          </cell>
          <cell r="B365" t="str">
            <v>VAR_fin</v>
          </cell>
          <cell r="C365" t="str">
            <v>RHNM-SHELCH</v>
          </cell>
          <cell r="D365"/>
          <cell r="E365">
            <v>3.3852013200065333E-2</v>
          </cell>
          <cell r="F365">
            <v>0.89470544005377284</v>
          </cell>
          <cell r="G365">
            <v>1.3635376204947685</v>
          </cell>
          <cell r="H365">
            <v>1.9251400924127793</v>
          </cell>
          <cell r="I365">
            <v>2.2701626086539424</v>
          </cell>
          <cell r="J365"/>
        </row>
        <row r="366">
          <cell r="A366" t="str">
            <v>RHNM-SHDEM</v>
          </cell>
          <cell r="B366" t="str">
            <v>VAR_fin</v>
          </cell>
          <cell r="C366" t="str">
            <v>RHNM-SHNST</v>
          </cell>
          <cell r="D366"/>
          <cell r="E366">
            <v>1.3506241461414272E-2</v>
          </cell>
          <cell r="F366">
            <v>3.7213555710520512E-4</v>
          </cell>
          <cell r="G366">
            <v>1.7823141230979733E-4</v>
          </cell>
          <cell r="H366">
            <v>1.4142299507348436E-3</v>
          </cell>
          <cell r="I366"/>
          <cell r="J366"/>
          <cell r="K366"/>
        </row>
        <row r="367">
          <cell r="A367" t="str">
            <v>RHNM-SHDEM</v>
          </cell>
          <cell r="B367" t="str">
            <v>VAR_fin</v>
          </cell>
          <cell r="C367" t="str">
            <v>RHNM-SHPLT</v>
          </cell>
          <cell r="D367"/>
          <cell r="E367">
            <v>6.4945431115163002E-2</v>
          </cell>
          <cell r="F367">
            <v>9.4990596652079159E-4</v>
          </cell>
          <cell r="G367">
            <v>1.923957537152931E-4</v>
          </cell>
          <cell r="H367">
            <v>1.4384207812328299E-5</v>
          </cell>
          <cell r="I367"/>
          <cell r="J367"/>
          <cell r="K367"/>
        </row>
        <row r="368">
          <cell r="A368" t="str">
            <v>RHNM-SHDEM</v>
          </cell>
          <cell r="B368" t="str">
            <v>VAR_fin</v>
          </cell>
          <cell r="C368" t="str">
            <v>RHNM-SHLTHC-NGA</v>
          </cell>
          <cell r="D368"/>
          <cell r="E368">
            <v>3.3569607438019844E-2</v>
          </cell>
          <cell r="F368">
            <v>6.224595286204867E-4</v>
          </cell>
          <cell r="G368">
            <v>7.1190113607892978E-5</v>
          </cell>
          <cell r="H368">
            <v>7.4424380199138163E-4</v>
          </cell>
          <cell r="I368"/>
          <cell r="J368"/>
        </row>
        <row r="369">
          <cell r="A369" t="str">
            <v>RHNM-SHDEM</v>
          </cell>
          <cell r="B369" t="str">
            <v>VAR_fin</v>
          </cell>
          <cell r="C369" t="str">
            <v>RHNM-SHSOL</v>
          </cell>
          <cell r="E369">
            <v>3.9940167443750528E-2</v>
          </cell>
          <cell r="F369">
            <v>3.4194557627646245E-3</v>
          </cell>
          <cell r="G369">
            <v>1.5181433420604856E-3</v>
          </cell>
          <cell r="H369">
            <v>6.9276546257491288E-3</v>
          </cell>
          <cell r="I369">
            <v>6.3209338199449357E-3</v>
          </cell>
          <cell r="J369"/>
          <cell r="K369"/>
        </row>
        <row r="370">
          <cell r="A370" t="str">
            <v>RHNM-SHDEM</v>
          </cell>
          <cell r="B370" t="str">
            <v>VAR_fin</v>
          </cell>
          <cell r="C370" t="str">
            <v>RHNM-SHLTHC-WOD</v>
          </cell>
          <cell r="F370">
            <v>2.7180926992517615E-4</v>
          </cell>
          <cell r="G370">
            <v>4.1002871423207767E-4</v>
          </cell>
          <cell r="H370">
            <v>2.0493210200225554E-3</v>
          </cell>
          <cell r="I370"/>
          <cell r="J370"/>
          <cell r="K370"/>
        </row>
        <row r="371">
          <cell r="A371" t="str">
            <v>RHNM-SHDEM</v>
          </cell>
          <cell r="B371" t="str">
            <v>VAR_fin</v>
          </cell>
          <cell r="C371" t="str">
            <v>RHNM-SHNGAH</v>
          </cell>
          <cell r="E371">
            <v>8.303050945071477E-3</v>
          </cell>
          <cell r="F371">
            <v>0.23950472451133184</v>
          </cell>
          <cell r="G371">
            <v>0.81520986293270969</v>
          </cell>
          <cell r="H371">
            <v>1.3461314434477438</v>
          </cell>
          <cell r="I371">
            <v>1.2262559547507825</v>
          </cell>
          <cell r="J371"/>
          <cell r="K371"/>
        </row>
        <row r="372">
          <cell r="A372" t="str">
            <v>RHNM-SHDEM</v>
          </cell>
          <cell r="B372" t="str">
            <v>VAR_fin</v>
          </cell>
          <cell r="C372" t="str">
            <v>RHNM-SHNGA</v>
          </cell>
          <cell r="E372">
            <v>0.55904965749784385</v>
          </cell>
          <cell r="F372">
            <v>4.1146422175143077E-3</v>
          </cell>
          <cell r="G372">
            <v>3.3947173080422562E-2</v>
          </cell>
          <cell r="H372">
            <v>3.4441460310231091E-2</v>
          </cell>
          <cell r="I372"/>
          <cell r="J372"/>
          <cell r="K372"/>
        </row>
        <row r="373">
          <cell r="A373" t="str">
            <v>SCOM-STG-ELCSPEC</v>
          </cell>
          <cell r="B373" t="str">
            <v>VAR_fout</v>
          </cell>
          <cell r="C373" t="str">
            <v>SCOM-ELS</v>
          </cell>
          <cell r="D373"/>
          <cell r="E373">
            <v>0.10576424224435585</v>
          </cell>
          <cell r="F373">
            <v>0.10701413701928916</v>
          </cell>
          <cell r="G373">
            <v>0.10753633894348211</v>
          </cell>
          <cell r="H373">
            <v>0.12167882217826201</v>
          </cell>
          <cell r="I373">
            <v>0.16558752863401893</v>
          </cell>
          <cell r="J373"/>
        </row>
        <row r="374">
          <cell r="A374" t="str">
            <v>SCOM-STG-ELCSPEC</v>
          </cell>
          <cell r="B374" t="str">
            <v>VAR_fin</v>
          </cell>
          <cell r="C374" t="str">
            <v>SCOM-ELS</v>
          </cell>
          <cell r="E374">
            <v>0.10577546074159926</v>
          </cell>
          <cell r="F374">
            <v>0.1070323816847281</v>
          </cell>
          <cell r="G374">
            <v>0.10754475281641465</v>
          </cell>
          <cell r="H374">
            <v>0.12168793720727247</v>
          </cell>
          <cell r="I374">
            <v>0.16559765157489195</v>
          </cell>
          <cell r="J374"/>
          <cell r="K374"/>
        </row>
        <row r="375">
          <cell r="A375" t="str">
            <v>SCOM-STG-ELCSPEC</v>
          </cell>
          <cell r="B375" t="str">
            <v>VAR_ncap</v>
          </cell>
          <cell r="C375" t="str">
            <v>-</v>
          </cell>
          <cell r="E375">
            <v>4.0097735453705997E-3</v>
          </cell>
          <cell r="F375">
            <v>3.9246022216517901E-5</v>
          </cell>
          <cell r="G375">
            <v>2.4145491825298E-5</v>
          </cell>
          <cell r="H375">
            <v>1.9921110877009099E-3</v>
          </cell>
          <cell r="I375">
            <v>3.66058742595682E-3</v>
          </cell>
          <cell r="J375"/>
          <cell r="K375"/>
        </row>
        <row r="376">
          <cell r="A376" t="str">
            <v>SCOM-STG-ELCSPEC</v>
          </cell>
          <cell r="B376" t="str">
            <v>VAR_cap</v>
          </cell>
          <cell r="C376" t="str">
            <v>-</v>
          </cell>
          <cell r="E376">
            <v>4.0097735453705997E-3</v>
          </cell>
          <cell r="F376">
            <v>4.0443629917785596E-3</v>
          </cell>
          <cell r="G376">
            <v>4.0596160444238884E-3</v>
          </cell>
          <cell r="H376">
            <v>4.5561878714404083E-3</v>
          </cell>
          <cell r="I376">
            <v>6.012288891165749E-3</v>
          </cell>
          <cell r="J376"/>
          <cell r="K376"/>
        </row>
        <row r="377">
          <cell r="A377" t="str">
            <v>RHNS-SHCONBR3</v>
          </cell>
          <cell r="B377" t="str">
            <v>VAR_ncap</v>
          </cell>
          <cell r="C377" t="str">
            <v>-</v>
          </cell>
          <cell r="D377"/>
          <cell r="F377">
            <v>375</v>
          </cell>
          <cell r="G377">
            <v>5.1938897224059</v>
          </cell>
          <cell r="H377"/>
          <cell r="I377"/>
          <cell r="J377"/>
          <cell r="K377"/>
        </row>
        <row r="378">
          <cell r="A378" t="str">
            <v>RHNS-SHCONBR3</v>
          </cell>
          <cell r="B378" t="str">
            <v>VAR_cap</v>
          </cell>
          <cell r="C378" t="str">
            <v>-</v>
          </cell>
          <cell r="F378">
            <v>375</v>
          </cell>
          <cell r="G378">
            <v>13.317403382832026</v>
          </cell>
          <cell r="H378">
            <v>6.9365975379429869</v>
          </cell>
          <cell r="I378">
            <v>3.1099432923010113</v>
          </cell>
          <cell r="J378"/>
          <cell r="K378"/>
        </row>
        <row r="379">
          <cell r="A379" t="str">
            <v>SCOM-SHCONBR7</v>
          </cell>
          <cell r="B379" t="str">
            <v>VAR_fout</v>
          </cell>
          <cell r="C379" t="str">
            <v>SCOM-SHCON</v>
          </cell>
          <cell r="D379"/>
          <cell r="E379">
            <v>5.329571327075326E-3</v>
          </cell>
          <cell r="F379">
            <v>2.8434277259376641E-3</v>
          </cell>
          <cell r="G379">
            <v>2.9795460066845518E-3</v>
          </cell>
          <cell r="H379">
            <v>4.6212926230205014E-3</v>
          </cell>
          <cell r="I379">
            <v>3.7491588408818028E-3</v>
          </cell>
          <cell r="J379"/>
          <cell r="K379"/>
        </row>
        <row r="380">
          <cell r="A380" t="str">
            <v>SCOM-SHCONBR7</v>
          </cell>
          <cell r="B380" t="str">
            <v>VAR_fin</v>
          </cell>
          <cell r="C380" t="str">
            <v>CON</v>
          </cell>
          <cell r="E380">
            <v>5.329571327075326E-3</v>
          </cell>
          <cell r="F380">
            <v>2.8434277259376641E-3</v>
          </cell>
          <cell r="G380">
            <v>2.9795460066845518E-3</v>
          </cell>
          <cell r="H380">
            <v>4.6212926230205014E-3</v>
          </cell>
          <cell r="I380">
            <v>3.7491588408818028E-3</v>
          </cell>
          <cell r="J380"/>
          <cell r="K380"/>
        </row>
        <row r="381">
          <cell r="A381" t="str">
            <v>SCOM-SHCONBR7</v>
          </cell>
          <cell r="B381" t="str">
            <v>VAR_ncap</v>
          </cell>
          <cell r="C381" t="str">
            <v>-</v>
          </cell>
          <cell r="E381">
            <v>4.80142243671547E-4</v>
          </cell>
          <cell r="F381">
            <v>1.2174954964033299E-6</v>
          </cell>
          <cell r="G381">
            <v>9.9552133442955299E-7</v>
          </cell>
          <cell r="H381"/>
          <cell r="I381">
            <v>6.9256477202286898E-5</v>
          </cell>
          <cell r="J381"/>
          <cell r="K381"/>
        </row>
        <row r="382">
          <cell r="A382" t="str">
            <v>SCOM-SHCONBR7</v>
          </cell>
          <cell r="B382" t="str">
            <v>VAR_cap</v>
          </cell>
          <cell r="C382" t="str">
            <v>-</v>
          </cell>
          <cell r="D382"/>
          <cell r="E382">
            <v>4.80142243671547E-4</v>
          </cell>
          <cell r="F382">
            <v>4.8082940885808389E-4</v>
          </cell>
          <cell r="G382">
            <v>4.8096289914196811E-4</v>
          </cell>
          <cell r="H382">
            <v>4.9954556198719333E-4</v>
          </cell>
          <cell r="I382">
            <v>3.6665710660333526E-4</v>
          </cell>
          <cell r="J382"/>
          <cell r="K382"/>
        </row>
        <row r="383">
          <cell r="A383" t="str">
            <v>RHNS-SHCONBR4</v>
          </cell>
          <cell r="B383" t="str">
            <v>VAR_ncap</v>
          </cell>
          <cell r="C383" t="str">
            <v>-</v>
          </cell>
          <cell r="F383">
            <v>375</v>
          </cell>
          <cell r="G383">
            <v>5.1938897224060199</v>
          </cell>
          <cell r="H383"/>
          <cell r="I383"/>
          <cell r="J383"/>
          <cell r="K383"/>
        </row>
        <row r="384">
          <cell r="A384" t="str">
            <v>RHNS-SHCONBR4</v>
          </cell>
          <cell r="B384" t="str">
            <v>VAR_cap</v>
          </cell>
          <cell r="C384" t="str">
            <v>-</v>
          </cell>
          <cell r="F384">
            <v>375</v>
          </cell>
          <cell r="G384">
            <v>13.317403382829013</v>
          </cell>
          <cell r="H384">
            <v>6.9365975379409974</v>
          </cell>
          <cell r="I384">
            <v>3.109943292300045</v>
          </cell>
          <cell r="J384"/>
          <cell r="K384"/>
        </row>
        <row r="385">
          <cell r="A385" t="str">
            <v>SCOM-SHCONBR8</v>
          </cell>
          <cell r="B385" t="str">
            <v>VAR_fout</v>
          </cell>
          <cell r="C385" t="str">
            <v>SCOM-SHCON</v>
          </cell>
          <cell r="D385"/>
          <cell r="E385">
            <v>1.9498124365837166E-3</v>
          </cell>
          <cell r="F385">
            <v>1.1689731563914194E-3</v>
          </cell>
          <cell r="G385">
            <v>1.2033761428592335E-3</v>
          </cell>
          <cell r="H385">
            <v>1.6362134377386492E-3</v>
          </cell>
          <cell r="I385">
            <v>1.129506507902521E-3</v>
          </cell>
          <cell r="J385"/>
          <cell r="K385"/>
        </row>
        <row r="386">
          <cell r="A386" t="str">
            <v>SCOM-SHCONBR8</v>
          </cell>
          <cell r="B386" t="str">
            <v>VAR_fin</v>
          </cell>
          <cell r="C386" t="str">
            <v>CON</v>
          </cell>
          <cell r="D386"/>
          <cell r="E386">
            <v>1.9498124365837166E-3</v>
          </cell>
          <cell r="F386">
            <v>1.1689731563914194E-3</v>
          </cell>
          <cell r="G386">
            <v>1.2033761428592335E-3</v>
          </cell>
          <cell r="H386">
            <v>1.6362134377386492E-3</v>
          </cell>
          <cell r="I386">
            <v>1.129506507902521E-3</v>
          </cell>
          <cell r="J386"/>
        </row>
        <row r="387">
          <cell r="A387" t="str">
            <v>SCOM-SHCONBR8</v>
          </cell>
          <cell r="B387" t="str">
            <v>VAR_ncap</v>
          </cell>
          <cell r="C387" t="str">
            <v>-</v>
          </cell>
          <cell r="E387">
            <v>1.9319730674532699E-4</v>
          </cell>
          <cell r="F387">
            <v>8.44102958217086E-7</v>
          </cell>
          <cell r="G387">
            <v>6.3208490293080305E-7</v>
          </cell>
          <cell r="H387"/>
          <cell r="I387">
            <v>4.5966919694174597E-6</v>
          </cell>
          <cell r="J387"/>
        </row>
        <row r="388">
          <cell r="A388" t="str">
            <v>SCOM-SHCONBR8</v>
          </cell>
          <cell r="B388" t="str">
            <v>VAR_cap</v>
          </cell>
          <cell r="C388" t="str">
            <v>-</v>
          </cell>
          <cell r="E388">
            <v>1.9319730674532699E-4</v>
          </cell>
          <cell r="F388">
            <v>1.9374599607326643E-4</v>
          </cell>
          <cell r="G388">
            <v>1.9394220612156771E-4</v>
          </cell>
          <cell r="H388">
            <v>2.0536956175970346E-4</v>
          </cell>
          <cell r="I388">
            <v>1.2876976025520589E-4</v>
          </cell>
          <cell r="J388"/>
        </row>
        <row r="389">
          <cell r="A389" t="str">
            <v>ITOT-ELCSPEC</v>
          </cell>
          <cell r="B389" t="str">
            <v>VAR_fout</v>
          </cell>
          <cell r="C389" t="str">
            <v>ITOT-ELS</v>
          </cell>
          <cell r="D389">
            <v>48.063397652170998</v>
          </cell>
          <cell r="E389">
            <v>49.9080587500736</v>
          </cell>
          <cell r="F389">
            <v>51.49547722582075</v>
          </cell>
          <cell r="G389">
            <v>41.79738301359216</v>
          </cell>
          <cell r="H389">
            <v>41.656172350710563</v>
          </cell>
          <cell r="I389">
            <v>38.155877363099457</v>
          </cell>
          <cell r="J389"/>
          <cell r="K389"/>
        </row>
        <row r="390">
          <cell r="A390" t="str">
            <v>ITOT-ELCSPEC</v>
          </cell>
          <cell r="B390" t="str">
            <v>VAR_fin</v>
          </cell>
          <cell r="C390" t="str">
            <v>ITOT_ELC</v>
          </cell>
          <cell r="D390">
            <v>48.063397652170998</v>
          </cell>
          <cell r="E390">
            <v>49.9080587500736</v>
          </cell>
          <cell r="F390">
            <v>51.49547722582075</v>
          </cell>
          <cell r="G390">
            <v>41.79738301359216</v>
          </cell>
          <cell r="H390">
            <v>41.656172350710563</v>
          </cell>
          <cell r="I390">
            <v>38.155877363099457</v>
          </cell>
          <cell r="J390"/>
          <cell r="K390"/>
        </row>
        <row r="391">
          <cell r="A391" t="str">
            <v>ITOT-ELCSPEC</v>
          </cell>
          <cell r="B391" t="str">
            <v>VAR_ncap</v>
          </cell>
          <cell r="C391" t="str">
            <v>-</v>
          </cell>
          <cell r="D391">
            <v>8.3527083546107606E-2</v>
          </cell>
          <cell r="E391">
            <v>0.100327600666964</v>
          </cell>
          <cell r="F391">
            <v>8.6313104033186996E-2</v>
          </cell>
          <cell r="G391">
            <v>2.0013519470681599E-5</v>
          </cell>
          <cell r="H391">
            <v>6.3165176646144797E-5</v>
          </cell>
          <cell r="I391">
            <v>1.83628453479343</v>
          </cell>
          <cell r="J391"/>
          <cell r="K391"/>
        </row>
        <row r="392">
          <cell r="A392" t="str">
            <v>ITOT-ELCSPEC</v>
          </cell>
          <cell r="B392" t="str">
            <v>VAR_cap</v>
          </cell>
          <cell r="C392" t="str">
            <v>-</v>
          </cell>
          <cell r="D392">
            <v>2.6138543155788176</v>
          </cell>
          <cell r="E392">
            <v>2.7141782398507175</v>
          </cell>
          <cell r="F392">
            <v>2.8004794867515859</v>
          </cell>
          <cell r="G392">
            <v>2.2731082925083341</v>
          </cell>
          <cell r="H392">
            <v>2.2654425058539882</v>
          </cell>
          <cell r="I392">
            <v>2.0750398277073225</v>
          </cell>
          <cell r="J392"/>
          <cell r="K392"/>
        </row>
        <row r="393">
          <cell r="A393" t="str">
            <v>RHNM-SHLTHDH</v>
          </cell>
          <cell r="B393" t="str">
            <v>VAR_fout</v>
          </cell>
          <cell r="C393" t="str">
            <v>RHNM-SHLTHD</v>
          </cell>
          <cell r="D393"/>
          <cell r="E393">
            <v>0.3466525331146485</v>
          </cell>
          <cell r="F393">
            <v>0.13865676677392455</v>
          </cell>
          <cell r="G393">
            <v>0.16636730376367961</v>
          </cell>
          <cell r="H393">
            <v>0.27350759863887347</v>
          </cell>
          <cell r="I393">
            <v>0.51264632662633858</v>
          </cell>
          <cell r="J393"/>
          <cell r="K393"/>
        </row>
        <row r="394">
          <cell r="A394" t="str">
            <v>RHNM-SHLTHDH</v>
          </cell>
          <cell r="B394" t="str">
            <v>VAR_fin</v>
          </cell>
          <cell r="C394" t="str">
            <v>RHNMLTHDHC</v>
          </cell>
          <cell r="E394">
            <v>0.3466525331146485</v>
          </cell>
          <cell r="F394">
            <v>0.13865676677392455</v>
          </cell>
          <cell r="G394">
            <v>0.16636730376367961</v>
          </cell>
          <cell r="H394">
            <v>0.27350759863887347</v>
          </cell>
          <cell r="I394">
            <v>0.51264632662633858</v>
          </cell>
          <cell r="J394"/>
          <cell r="K394"/>
        </row>
        <row r="395">
          <cell r="A395" t="str">
            <v>RHNM-SHLTHDH</v>
          </cell>
          <cell r="B395" t="str">
            <v>VAR_fin</v>
          </cell>
          <cell r="C395" t="str">
            <v>RHNM_LTH_DH</v>
          </cell>
          <cell r="E395">
            <v>0.35015407385318015</v>
          </cell>
          <cell r="F395">
            <v>0.1532677406687965</v>
          </cell>
          <cell r="G395">
            <v>0.18372196465627602</v>
          </cell>
          <cell r="H395">
            <v>0.30074669011973276</v>
          </cell>
          <cell r="I395">
            <v>0.56370165473346934</v>
          </cell>
          <cell r="J395"/>
          <cell r="K395"/>
        </row>
        <row r="396">
          <cell r="A396" t="str">
            <v>RHNM-SHLTHDH</v>
          </cell>
          <cell r="B396" t="str">
            <v>VAR_ncap</v>
          </cell>
          <cell r="C396" t="str">
            <v>-</v>
          </cell>
          <cell r="D396"/>
          <cell r="E396">
            <v>4.3553232954292698E-2</v>
          </cell>
          <cell r="F396">
            <v>2.1911401725679201E-2</v>
          </cell>
          <cell r="G396">
            <v>2.2387473875456299E-2</v>
          </cell>
          <cell r="H396">
            <v>2.0743115074724101E-2</v>
          </cell>
          <cell r="I396">
            <v>2.4218456391944299E-2</v>
          </cell>
          <cell r="J396"/>
          <cell r="K396"/>
        </row>
        <row r="397">
          <cell r="A397" t="str">
            <v>RHNM-SHLTHDH</v>
          </cell>
          <cell r="B397" t="str">
            <v>VAR_cap</v>
          </cell>
          <cell r="C397" t="str">
            <v>-</v>
          </cell>
          <cell r="E397">
            <v>4.3553232954292698E-2</v>
          </cell>
          <cell r="F397">
            <v>3.2949211139067604E-2</v>
          </cell>
          <cell r="G397">
            <v>3.8872683581645598E-2</v>
          </cell>
          <cell r="H397">
            <v>4.5235272530795012E-2</v>
          </cell>
          <cell r="I397">
            <v>4.4942337835684992E-2</v>
          </cell>
          <cell r="J397"/>
        </row>
        <row r="398">
          <cell r="A398" t="str">
            <v>RHNS-SHCONBR5</v>
          </cell>
          <cell r="B398" t="str">
            <v>VAR_ncap</v>
          </cell>
          <cell r="C398" t="str">
            <v>-</v>
          </cell>
          <cell r="F398">
            <v>375</v>
          </cell>
          <cell r="G398">
            <v>5.1938897224059</v>
          </cell>
          <cell r="H398"/>
          <cell r="I398"/>
        </row>
        <row r="399">
          <cell r="A399" t="str">
            <v>RHNS-SHCONBR5</v>
          </cell>
          <cell r="B399" t="str">
            <v>VAR_cap</v>
          </cell>
          <cell r="C399" t="str">
            <v>-</v>
          </cell>
          <cell r="D399"/>
          <cell r="F399">
            <v>375</v>
          </cell>
          <cell r="G399">
            <v>13.317403382832026</v>
          </cell>
          <cell r="H399">
            <v>6.9365975379429869</v>
          </cell>
          <cell r="I399">
            <v>3.1099432923010113</v>
          </cell>
          <cell r="J399"/>
        </row>
        <row r="400">
          <cell r="A400" t="str">
            <v>SCOM-SHCONBR9</v>
          </cell>
          <cell r="B400" t="str">
            <v>VAR_fout</v>
          </cell>
          <cell r="C400" t="str">
            <v>SCOM-SHCON</v>
          </cell>
          <cell r="E400">
            <v>7.0291059883856994E-4</v>
          </cell>
          <cell r="F400">
            <v>4.9554311801334539E-4</v>
          </cell>
          <cell r="G400">
            <v>4.9269153356581617E-4</v>
          </cell>
          <cell r="H400">
            <v>5.9703271609553188E-4</v>
          </cell>
          <cell r="I400">
            <v>4.126941761876327E-4</v>
          </cell>
          <cell r="J400"/>
        </row>
        <row r="401">
          <cell r="A401" t="str">
            <v>SCOM-SHCONBR9</v>
          </cell>
          <cell r="B401" t="str">
            <v>VAR_fin</v>
          </cell>
          <cell r="C401" t="str">
            <v>CON</v>
          </cell>
          <cell r="E401">
            <v>7.0291059883856994E-4</v>
          </cell>
          <cell r="F401">
            <v>4.9554311801334539E-4</v>
          </cell>
          <cell r="G401">
            <v>4.9269153356581617E-4</v>
          </cell>
          <cell r="H401">
            <v>5.9703271609553188E-4</v>
          </cell>
          <cell r="I401">
            <v>4.126941761876327E-4</v>
          </cell>
          <cell r="J401"/>
          <cell r="K401"/>
        </row>
        <row r="402">
          <cell r="A402" t="str">
            <v>SCOM-SHCONBR9</v>
          </cell>
          <cell r="B402" t="str">
            <v>VAR_ncap</v>
          </cell>
          <cell r="C402" t="str">
            <v>-</v>
          </cell>
          <cell r="E402">
            <v>7.5473776346021799E-5</v>
          </cell>
          <cell r="F402">
            <v>5.2445527743573301E-7</v>
          </cell>
          <cell r="G402">
            <v>3.2226324875148499E-7</v>
          </cell>
          <cell r="H402"/>
          <cell r="I402">
            <v>9.0515968335486604E-7</v>
          </cell>
          <cell r="J402"/>
          <cell r="K402"/>
        </row>
        <row r="403">
          <cell r="A403" t="str">
            <v>SCOM-SHCONBR9</v>
          </cell>
          <cell r="B403" t="str">
            <v>VAR_cap</v>
          </cell>
          <cell r="C403" t="str">
            <v>-</v>
          </cell>
          <cell r="E403">
            <v>7.5473776346021799E-5</v>
          </cell>
          <cell r="F403">
            <v>7.5849121598563384E-5</v>
          </cell>
          <cell r="G403">
            <v>7.5987573831687994E-5</v>
          </cell>
          <cell r="H403">
            <v>8.2524110618256022E-5</v>
          </cell>
          <cell r="I403">
            <v>5.1753968430654873E-5</v>
          </cell>
          <cell r="J403"/>
          <cell r="K403"/>
        </row>
        <row r="404">
          <cell r="A404" t="str">
            <v>ITOT-SWHCOABR</v>
          </cell>
          <cell r="B404" t="str">
            <v>VAR_fout</v>
          </cell>
          <cell r="C404" t="str">
            <v>ITOT-SWH</v>
          </cell>
          <cell r="D404">
            <v>2.3674083984397276</v>
          </cell>
          <cell r="E404">
            <v>2.3075030603349513</v>
          </cell>
          <cell r="F404">
            <v>2.6269849449477807E-2</v>
          </cell>
          <cell r="G404">
            <v>5.2556633237286512E-6</v>
          </cell>
          <cell r="H404">
            <v>3.8245057430764257E-4</v>
          </cell>
          <cell r="I404">
            <v>9.2896640675143964E-4</v>
          </cell>
          <cell r="J404"/>
          <cell r="K404"/>
        </row>
        <row r="405">
          <cell r="A405" t="str">
            <v>ITOT-SWHCOABR</v>
          </cell>
          <cell r="B405" t="str">
            <v>VAR_fout</v>
          </cell>
          <cell r="C405" t="str">
            <v>CO2_I</v>
          </cell>
          <cell r="D405">
            <v>330.01317072986899</v>
          </cell>
          <cell r="E405">
            <v>321.17948001959502</v>
          </cell>
          <cell r="F405">
            <v>3.6482622381522001</v>
          </cell>
          <cell r="G405">
            <v>7.2716416434275596E-4</v>
          </cell>
          <cell r="H405">
            <v>5.2523212204916299E-2</v>
          </cell>
          <cell r="I405">
            <v>0.12663997927332099</v>
          </cell>
          <cell r="J405"/>
          <cell r="K405"/>
        </row>
        <row r="406">
          <cell r="A406" t="str">
            <v>ITOT-SWHCOABR</v>
          </cell>
          <cell r="B406" t="str">
            <v>VAR_fin</v>
          </cell>
          <cell r="C406" t="str">
            <v>ICOA</v>
          </cell>
          <cell r="D406">
            <v>3.5600126292326757</v>
          </cell>
          <cell r="E406">
            <v>3.4647193098122413</v>
          </cell>
          <cell r="F406">
            <v>3.9355579699592212E-2</v>
          </cell>
          <cell r="G406">
            <v>7.8442736175054533E-6</v>
          </cell>
          <cell r="H406">
            <v>5.665934434187298E-4</v>
          </cell>
          <cell r="I406">
            <v>1.3661270687521166E-3</v>
          </cell>
          <cell r="J406"/>
          <cell r="K406"/>
        </row>
        <row r="407">
          <cell r="A407" t="str">
            <v>ITOT-SWHCOABR</v>
          </cell>
          <cell r="B407" t="str">
            <v>VAR_ncap</v>
          </cell>
          <cell r="C407" t="str">
            <v>-</v>
          </cell>
          <cell r="E407">
            <v>7.8832101976109706E-5</v>
          </cell>
          <cell r="F407">
            <v>5.8715612713328597E-5</v>
          </cell>
          <cell r="G407">
            <v>1.4877437188988099E-5</v>
          </cell>
          <cell r="H407">
            <v>3.0082058209777701E-5</v>
          </cell>
          <cell r="I407">
            <v>7.5738349058107206E-5</v>
          </cell>
          <cell r="K407"/>
        </row>
        <row r="408">
          <cell r="A408" t="str">
            <v>ITOT-SWHCOABR</v>
          </cell>
          <cell r="B408" t="str">
            <v>VAR_cap</v>
          </cell>
          <cell r="C408" t="str">
            <v>-</v>
          </cell>
          <cell r="D408">
            <v>0.26172155007150499</v>
          </cell>
          <cell r="E408">
            <v>0.19848316992047893</v>
          </cell>
          <cell r="F408">
            <v>2.487207400956426E-3</v>
          </cell>
          <cell r="G408">
            <v>7.9289314641739495E-7</v>
          </cell>
          <cell r="H408">
            <v>3.5911348527413895E-5</v>
          </cell>
          <cell r="I408">
            <v>8.8228097548086507E-5</v>
          </cell>
          <cell r="J408"/>
          <cell r="K408"/>
        </row>
        <row r="409">
          <cell r="A409" t="str">
            <v>RHSA-WHDEM</v>
          </cell>
          <cell r="B409" t="str">
            <v>VAR_fout</v>
          </cell>
          <cell r="C409" t="str">
            <v>RHSA-WHD</v>
          </cell>
          <cell r="D409">
            <v>26.438654975424289</v>
          </cell>
          <cell r="E409">
            <v>25.92879146371218</v>
          </cell>
          <cell r="F409">
            <v>21.250035836424615</v>
          </cell>
          <cell r="G409">
            <v>22.164766944082992</v>
          </cell>
          <cell r="H409">
            <v>26.240900631972099</v>
          </cell>
          <cell r="I409">
            <v>26.859807386556003</v>
          </cell>
          <cell r="J409"/>
          <cell r="K409"/>
        </row>
        <row r="410">
          <cell r="A410" t="str">
            <v>RHSA-WHDEM</v>
          </cell>
          <cell r="B410" t="str">
            <v>VAR_fin</v>
          </cell>
          <cell r="C410" t="str">
            <v>RHSA-WHNGA</v>
          </cell>
          <cell r="D410">
            <v>6.2020396046042086</v>
          </cell>
          <cell r="E410">
            <v>5.5401547278566134</v>
          </cell>
          <cell r="F410">
            <v>4.9546886717273928</v>
          </cell>
          <cell r="G410">
            <v>3.0556112868199872</v>
          </cell>
          <cell r="H410">
            <v>1.2608585525437077</v>
          </cell>
          <cell r="I410">
            <v>0.78944665069712749</v>
          </cell>
          <cell r="J410"/>
        </row>
        <row r="411">
          <cell r="A411" t="str">
            <v>RHSA-WHDEM</v>
          </cell>
          <cell r="B411" t="str">
            <v>VAR_fin</v>
          </cell>
          <cell r="C411" t="str">
            <v>RHSA-WHLFO</v>
          </cell>
          <cell r="D411">
            <v>6.8061111944276087</v>
          </cell>
          <cell r="E411">
            <v>5.5453042855391059</v>
          </cell>
          <cell r="F411">
            <v>4.3146484563488805</v>
          </cell>
          <cell r="G411">
            <v>1.8172850903333082</v>
          </cell>
          <cell r="H411">
            <v>0.38305372870009141</v>
          </cell>
          <cell r="I411">
            <v>1.5492102324925381E-2</v>
          </cell>
          <cell r="J411"/>
          <cell r="K411"/>
        </row>
        <row r="412">
          <cell r="A412" t="str">
            <v>RHSA-WHDEM</v>
          </cell>
          <cell r="B412" t="str">
            <v>VAR_fin</v>
          </cell>
          <cell r="C412" t="str">
            <v>RHSA-WHWOD</v>
          </cell>
          <cell r="D412">
            <v>0.55419571846239113</v>
          </cell>
          <cell r="E412">
            <v>0.59648333995161151</v>
          </cell>
          <cell r="F412">
            <v>1.0317831598497003</v>
          </cell>
          <cell r="G412">
            <v>0.90994475289257326</v>
          </cell>
          <cell r="H412">
            <v>0.62502230913525747</v>
          </cell>
          <cell r="I412">
            <v>0.33276193551096989</v>
          </cell>
          <cell r="J412"/>
          <cell r="K412"/>
        </row>
        <row r="413">
          <cell r="A413" t="str">
            <v>RHSA-WHDEM</v>
          </cell>
          <cell r="B413" t="str">
            <v>VAR_fin</v>
          </cell>
          <cell r="C413" t="str">
            <v>RHSA-WHNGAH</v>
          </cell>
          <cell r="D413">
            <v>3.2894717622584925E-2</v>
          </cell>
          <cell r="F413">
            <v>0.86850036424888599</v>
          </cell>
          <cell r="G413">
            <v>2.5936217252752525</v>
          </cell>
          <cell r="H413">
            <v>4.7103616383779885</v>
          </cell>
          <cell r="I413">
            <v>4.5258048208025254</v>
          </cell>
          <cell r="J413"/>
          <cell r="K413"/>
        </row>
        <row r="414">
          <cell r="A414" t="str">
            <v>RHSA-WHDEM</v>
          </cell>
          <cell r="B414" t="str">
            <v>VAR_fin</v>
          </cell>
          <cell r="C414" t="str">
            <v>RHSA-WHNST</v>
          </cell>
          <cell r="D414">
            <v>6.2354990209123586E-2</v>
          </cell>
          <cell r="E414">
            <v>1.0744658018235495E-3</v>
          </cell>
          <cell r="F414">
            <v>2.2648379788149254E-5</v>
          </cell>
          <cell r="G414">
            <v>1.42104731494176E-5</v>
          </cell>
          <cell r="H414">
            <v>2.7130532074621547E-5</v>
          </cell>
          <cell r="I414">
            <v>1.7463818181986045E-5</v>
          </cell>
        </row>
        <row r="415">
          <cell r="A415" t="str">
            <v>RHSA-WHDEM</v>
          </cell>
          <cell r="B415" t="str">
            <v>VAR_fin</v>
          </cell>
          <cell r="C415" t="str">
            <v>RHSA-WHPLT</v>
          </cell>
          <cell r="D415">
            <v>0.26793419919750533</v>
          </cell>
          <cell r="E415">
            <v>0.19425676736938211</v>
          </cell>
          <cell r="F415">
            <v>3.7424322453238117E-2</v>
          </cell>
          <cell r="G415">
            <v>3.437345509335922E-2</v>
          </cell>
          <cell r="H415">
            <v>2.2842159789246065E-2</v>
          </cell>
          <cell r="I415">
            <v>8.9230962260982965E-3</v>
          </cell>
        </row>
        <row r="416">
          <cell r="A416" t="str">
            <v>RHSA-WHDEM</v>
          </cell>
          <cell r="B416" t="str">
            <v>VAR_fin</v>
          </cell>
          <cell r="C416" t="str">
            <v>RHSA-WHLTHRD</v>
          </cell>
          <cell r="D416">
            <v>1.273681816796931</v>
          </cell>
          <cell r="E416">
            <v>1.4625572418731534</v>
          </cell>
          <cell r="F416">
            <v>1.1723705505191016</v>
          </cell>
          <cell r="G416">
            <v>1.239784481111075</v>
          </cell>
          <cell r="H416">
            <v>1.6685858398181002</v>
          </cell>
          <cell r="I416">
            <v>2.3177550744712181</v>
          </cell>
          <cell r="J416"/>
          <cell r="K416"/>
        </row>
        <row r="417">
          <cell r="A417" t="str">
            <v>RHSA-WHDEM</v>
          </cell>
          <cell r="B417" t="str">
            <v>VAR_fin</v>
          </cell>
          <cell r="C417" t="str">
            <v>RHSA-WHELCB</v>
          </cell>
          <cell r="D417">
            <v>6.4584749444605158</v>
          </cell>
          <cell r="E417">
            <v>6.9678638641324309</v>
          </cell>
          <cell r="F417">
            <v>2.7566985229103556</v>
          </cell>
          <cell r="G417">
            <v>1.9168446415717169</v>
          </cell>
          <cell r="H417">
            <v>1.5872941968732153</v>
          </cell>
          <cell r="I417">
            <v>1.3670502653095176</v>
          </cell>
          <cell r="J417"/>
          <cell r="K417"/>
        </row>
        <row r="418">
          <cell r="A418" t="str">
            <v>RHSA-WHDEM</v>
          </cell>
          <cell r="B418" t="str">
            <v>VAR_fin</v>
          </cell>
          <cell r="C418" t="str">
            <v>RHSA-WHSOL</v>
          </cell>
          <cell r="D418">
            <v>1.6670841336986737</v>
          </cell>
          <cell r="E418">
            <v>1.9870360133882494</v>
          </cell>
          <cell r="F418">
            <v>0.96978680693047858</v>
          </cell>
          <cell r="G418">
            <v>1.6654824382906908</v>
          </cell>
          <cell r="H418">
            <v>2.7311988340445601</v>
          </cell>
          <cell r="I418">
            <v>3.1839259803037683</v>
          </cell>
        </row>
        <row r="419">
          <cell r="A419" t="str">
            <v>RHSA-WHDEM</v>
          </cell>
          <cell r="B419" t="str">
            <v>VAR_fin</v>
          </cell>
          <cell r="C419" t="str">
            <v>RHSA-WHELCH</v>
          </cell>
          <cell r="D419">
            <v>3.1144425582470894</v>
          </cell>
          <cell r="E419">
            <v>3.6346196991049462</v>
          </cell>
          <cell r="F419">
            <v>5.1447389432827135</v>
          </cell>
          <cell r="G419">
            <v>8.9324296495693893</v>
          </cell>
          <cell r="H419">
            <v>13.252271836195314</v>
          </cell>
          <cell r="I419">
            <v>14.319193776204454</v>
          </cell>
        </row>
        <row r="420">
          <cell r="A420" t="str">
            <v>RHSA-WHNGAHP</v>
          </cell>
          <cell r="B420" t="str">
            <v>VAR_fout</v>
          </cell>
          <cell r="C420" t="str">
            <v>RHSA-WHANGAH</v>
          </cell>
          <cell r="F420">
            <v>0.86846168681576297</v>
          </cell>
          <cell r="G420">
            <v>2.5935741186815422</v>
          </cell>
          <cell r="H420">
            <v>4.7103071905971943</v>
          </cell>
          <cell r="I420">
            <v>4.5257508866000649</v>
          </cell>
          <cell r="J420"/>
          <cell r="K420"/>
        </row>
        <row r="421">
          <cell r="A421" t="str">
            <v>RHSA-WHNGAHP</v>
          </cell>
          <cell r="B421" t="str">
            <v>VAR_fout</v>
          </cell>
          <cell r="C421" t="str">
            <v>CO2_R</v>
          </cell>
          <cell r="F421">
            <v>23.911037488497001</v>
          </cell>
          <cell r="G421">
            <v>60.325882697163102</v>
          </cell>
          <cell r="H421">
            <v>96.9718568918356</v>
          </cell>
          <cell r="I421">
            <v>77.448525530141097</v>
          </cell>
          <cell r="J421"/>
          <cell r="K421"/>
        </row>
        <row r="422">
          <cell r="A422" t="str">
            <v>RHSA-WHNGAHP</v>
          </cell>
          <cell r="B422" t="str">
            <v>VAR_fin</v>
          </cell>
          <cell r="C422" t="str">
            <v>RNGA</v>
          </cell>
          <cell r="F422">
            <v>0.42395456539888249</v>
          </cell>
          <cell r="G422">
            <v>1.0696078492404804</v>
          </cell>
          <cell r="H422">
            <v>1.7193591647488575</v>
          </cell>
          <cell r="I422">
            <v>1.3732008072720052</v>
          </cell>
        </row>
        <row r="423">
          <cell r="A423" t="str">
            <v>RHSA-WHNGAHP</v>
          </cell>
          <cell r="B423" t="str">
            <v>VAR_ncap</v>
          </cell>
          <cell r="C423" t="str">
            <v>-</v>
          </cell>
          <cell r="E423">
            <v>1.2742160429243099E-5</v>
          </cell>
          <cell r="F423">
            <v>5.7888988348633201E-2</v>
          </cell>
          <cell r="G423">
            <v>0.119485793417965</v>
          </cell>
          <cell r="H423">
            <v>0.14803048483746001</v>
          </cell>
          <cell r="I423">
            <v>0.16763203207800101</v>
          </cell>
        </row>
        <row r="424">
          <cell r="A424" t="str">
            <v>RHSA-WHNGAHP</v>
          </cell>
          <cell r="B424" t="str">
            <v>VAR_cap</v>
          </cell>
          <cell r="C424" t="str">
            <v>-</v>
          </cell>
          <cell r="D424">
            <v>4.7729432218241499E-11</v>
          </cell>
          <cell r="E424">
            <v>1.1021705023661798E-5</v>
          </cell>
          <cell r="F424">
            <v>5.7899596539106361E-2</v>
          </cell>
          <cell r="G424">
            <v>0.17738457564973539</v>
          </cell>
          <cell r="H424">
            <v>0.32219029150046918</v>
          </cell>
          <cell r="I424">
            <v>0.30987505233788321</v>
          </cell>
          <cell r="J424"/>
          <cell r="K424"/>
        </row>
        <row r="425">
          <cell r="A425" t="str">
            <v>SCOM-SHSTG-ELCHP</v>
          </cell>
          <cell r="B425" t="str">
            <v>VAR_fout</v>
          </cell>
          <cell r="C425" t="str">
            <v>SCOM-SHAELCH</v>
          </cell>
          <cell r="D425">
            <v>5.0602416823132597E-5</v>
          </cell>
          <cell r="E425">
            <v>1.0707826595271347E-4</v>
          </cell>
          <cell r="F425">
            <v>9.9706830122388469E-5</v>
          </cell>
          <cell r="G425">
            <v>4.6976360350981258E-5</v>
          </cell>
          <cell r="H425">
            <v>1.3430034255621734E-4</v>
          </cell>
          <cell r="I425">
            <v>9.8113088883602532E-5</v>
          </cell>
          <cell r="J425"/>
          <cell r="K425"/>
        </row>
        <row r="426">
          <cell r="A426" t="str">
            <v>SCOM-SHSTG-ELCHP</v>
          </cell>
          <cell r="B426" t="str">
            <v>VAR_fin</v>
          </cell>
          <cell r="C426" t="str">
            <v>SCOM-SHAELCH</v>
          </cell>
          <cell r="D426">
            <v>7.3039380258057074E-5</v>
          </cell>
          <cell r="E426">
            <v>1.1215473011577907E-4</v>
          </cell>
          <cell r="F426">
            <v>1.0823129747822216E-4</v>
          </cell>
          <cell r="G426">
            <v>3.2862057420321602E-5</v>
          </cell>
          <cell r="H426">
            <v>1.6322087390425574E-4</v>
          </cell>
          <cell r="I426">
            <v>1.0655056147327719E-4</v>
          </cell>
        </row>
        <row r="427">
          <cell r="A427" t="str">
            <v>SCOM-SHSTG-ELCHP</v>
          </cell>
          <cell r="B427" t="str">
            <v>VAR_ncap</v>
          </cell>
          <cell r="C427" t="str">
            <v>-</v>
          </cell>
          <cell r="D427">
            <v>8.6092690159560198E-2</v>
          </cell>
          <cell r="E427">
            <v>1.6622856319433599E-2</v>
          </cell>
          <cell r="F427">
            <v>1.29802732262913E-2</v>
          </cell>
          <cell r="G427">
            <v>0.161615377663653</v>
          </cell>
          <cell r="H427">
            <v>0.17043381793976201</v>
          </cell>
          <cell r="I427">
            <v>0.21266769981040601</v>
          </cell>
        </row>
        <row r="428">
          <cell r="A428" t="str">
            <v>SCOM-SHSTG-ELCHP</v>
          </cell>
          <cell r="B428" t="str">
            <v>VAR_cap</v>
          </cell>
          <cell r="C428" t="str">
            <v>-</v>
          </cell>
          <cell r="D428">
            <v>8.6092690159560198E-2</v>
          </cell>
          <cell r="E428">
            <v>0.10133371850195787</v>
          </cell>
          <cell r="F428">
            <v>0.11396454167955056</v>
          </cell>
          <cell r="G428">
            <v>0.27525907712529285</v>
          </cell>
          <cell r="H428">
            <v>0.42332928367774864</v>
          </cell>
          <cell r="I428">
            <v>0.39540204736653523</v>
          </cell>
          <cell r="J428"/>
          <cell r="K428"/>
        </row>
        <row r="429">
          <cell r="A429" t="str">
            <v>RHEM-SHLFOBR</v>
          </cell>
          <cell r="B429" t="str">
            <v>VAR_fout</v>
          </cell>
          <cell r="C429" t="str">
            <v>CO2_R</v>
          </cell>
          <cell r="D429">
            <v>1928.7128312743801</v>
          </cell>
          <cell r="E429">
            <v>1569.23779655577</v>
          </cell>
          <cell r="F429">
            <v>1652.8777368430799</v>
          </cell>
          <cell r="G429">
            <v>769.09124025716301</v>
          </cell>
          <cell r="H429">
            <v>102.84251833028</v>
          </cell>
          <cell r="I429">
            <v>6.2676444269646803</v>
          </cell>
          <cell r="K429"/>
        </row>
        <row r="430">
          <cell r="A430" t="str">
            <v>RHEM-SHLFOBR</v>
          </cell>
          <cell r="B430" t="str">
            <v>VAR_fout</v>
          </cell>
          <cell r="C430" t="str">
            <v>RHEM-SHLFO</v>
          </cell>
          <cell r="D430">
            <v>23.443761800316135</v>
          </cell>
          <cell r="E430">
            <v>19.074294790789782</v>
          </cell>
          <cell r="F430">
            <v>19.058911365232049</v>
          </cell>
          <cell r="G430">
            <v>9.0570583073737225</v>
          </cell>
          <cell r="H430">
            <v>1.2111055701051139</v>
          </cell>
          <cell r="I430">
            <v>7.3809735508005403E-2</v>
          </cell>
          <cell r="K430"/>
        </row>
        <row r="431">
          <cell r="A431" t="str">
            <v>RHEM-SHLFOBR</v>
          </cell>
          <cell r="B431" t="str">
            <v>VAR_fin</v>
          </cell>
          <cell r="C431" t="str">
            <v>RLFO</v>
          </cell>
          <cell r="D431">
            <v>26.169780614306369</v>
          </cell>
          <cell r="E431">
            <v>21.292236045532768</v>
          </cell>
          <cell r="F431">
            <v>22.427106334370198</v>
          </cell>
          <cell r="G431">
            <v>10.435430668346841</v>
          </cell>
          <cell r="H431">
            <v>1.3954208728667619</v>
          </cell>
          <cell r="I431">
            <v>8.5042665223401287E-2</v>
          </cell>
          <cell r="K431"/>
        </row>
        <row r="432">
          <cell r="A432" t="str">
            <v>RHEM-SHLFOBR</v>
          </cell>
          <cell r="B432" t="str">
            <v>VAR_ncap</v>
          </cell>
          <cell r="C432" t="str">
            <v>-</v>
          </cell>
          <cell r="E432">
            <v>4.5597512559377E-6</v>
          </cell>
          <cell r="F432">
            <v>4.7854518123528903E-6</v>
          </cell>
          <cell r="G432">
            <v>5.2135627151050498E-6</v>
          </cell>
          <cell r="H432">
            <v>6.5009314597884602E-2</v>
          </cell>
          <cell r="I432">
            <v>1.4706694985064599E-6</v>
          </cell>
          <cell r="K432"/>
        </row>
        <row r="433">
          <cell r="A433" t="str">
            <v>RHEM-SHLFOBR</v>
          </cell>
          <cell r="B433" t="str">
            <v>VAR_cap</v>
          </cell>
          <cell r="C433" t="str">
            <v>-</v>
          </cell>
          <cell r="D433">
            <v>1.65587464377338</v>
          </cell>
          <cell r="E433">
            <v>1.4796444168197849</v>
          </cell>
          <cell r="F433">
            <v>1.4225217392715073</v>
          </cell>
          <cell r="G433">
            <v>1.4103213538269643</v>
          </cell>
          <cell r="H433">
            <v>8.5787418327245304E-2</v>
          </cell>
          <cell r="I433">
            <v>8.5740256350827979E-3</v>
          </cell>
          <cell r="K433"/>
        </row>
        <row r="434">
          <cell r="A434" t="str">
            <v>RHES-SHNGAHP</v>
          </cell>
          <cell r="B434" t="str">
            <v>VAR_fout</v>
          </cell>
          <cell r="C434" t="str">
            <v>RHES-SHANGAH</v>
          </cell>
          <cell r="F434">
            <v>1.5249149214831941</v>
          </cell>
          <cell r="G434">
            <v>1.6994729713477521</v>
          </cell>
          <cell r="H434">
            <v>1.6854730094844121</v>
          </cell>
          <cell r="I434">
            <v>1.3092214593056168</v>
          </cell>
          <cell r="K434"/>
        </row>
        <row r="435">
          <cell r="A435" t="str">
            <v>RHES-SHNGAHP</v>
          </cell>
          <cell r="B435" t="str">
            <v>VAR_fout</v>
          </cell>
          <cell r="C435" t="str">
            <v>CO2_R</v>
          </cell>
          <cell r="F435">
            <v>48.031494975239902</v>
          </cell>
          <cell r="G435">
            <v>51.132883350161002</v>
          </cell>
          <cell r="H435">
            <v>46.900035573659203</v>
          </cell>
          <cell r="I435">
            <v>34.198787472295002</v>
          </cell>
          <cell r="J435"/>
          <cell r="K435"/>
        </row>
        <row r="436">
          <cell r="A436" t="str">
            <v>RHES-SHNGAHP</v>
          </cell>
          <cell r="B436" t="str">
            <v>VAR_fin</v>
          </cell>
          <cell r="C436" t="str">
            <v>RHESELCHPC</v>
          </cell>
          <cell r="F436">
            <v>1.5249149214831941</v>
          </cell>
          <cell r="G436">
            <v>1.6994729713477521</v>
          </cell>
          <cell r="H436">
            <v>1.6854730094844121</v>
          </cell>
          <cell r="I436">
            <v>1.3092214593056168</v>
          </cell>
          <cell r="J436"/>
          <cell r="K436"/>
        </row>
        <row r="437">
          <cell r="A437" t="str">
            <v>RHES-SHNGAHP</v>
          </cell>
          <cell r="B437" t="str">
            <v>VAR_fin</v>
          </cell>
          <cell r="C437" t="str">
            <v>RNGA</v>
          </cell>
          <cell r="F437">
            <v>0.85162225133404046</v>
          </cell>
          <cell r="G437">
            <v>0.90661140691774922</v>
          </cell>
          <cell r="H437">
            <v>0.83156091442658131</v>
          </cell>
          <cell r="I437">
            <v>0.60636148000523005</v>
          </cell>
          <cell r="J437"/>
          <cell r="K437"/>
        </row>
        <row r="438">
          <cell r="A438" t="str">
            <v>RHES-SHNGAHP</v>
          </cell>
          <cell r="B438" t="str">
            <v>VAR_ncap</v>
          </cell>
          <cell r="C438" t="str">
            <v>-</v>
          </cell>
          <cell r="E438">
            <v>5.8065669672648703E-6</v>
          </cell>
          <cell r="F438">
            <v>0.12341927451330401</v>
          </cell>
          <cell r="G438">
            <v>1.3993872394443401E-2</v>
          </cell>
          <cell r="H438">
            <v>0.10328519958414401</v>
          </cell>
          <cell r="I438">
            <v>3.0387045255660699E-2</v>
          </cell>
          <cell r="J438"/>
          <cell r="K438"/>
        </row>
        <row r="439">
          <cell r="A439" t="str">
            <v>RHES-SHNGAHP</v>
          </cell>
          <cell r="B439" t="str">
            <v>VAR_cap</v>
          </cell>
          <cell r="C439" t="str">
            <v>-</v>
          </cell>
          <cell r="E439">
            <v>5.8065669672648703E-6</v>
          </cell>
          <cell r="F439">
            <v>0.12342434653572908</v>
          </cell>
          <cell r="G439">
            <v>0.13741767372133096</v>
          </cell>
          <cell r="H439">
            <v>0.13637670449656997</v>
          </cell>
          <cell r="I439">
            <v>0.10605269647774067</v>
          </cell>
          <cell r="K439"/>
        </row>
        <row r="440">
          <cell r="A440" t="str">
            <v>D-RHES_LTH_CHPWOD</v>
          </cell>
          <cell r="B440" t="str">
            <v>VAR_fout</v>
          </cell>
          <cell r="C440" t="str">
            <v>RHES_LTH_CHPWOD_ON</v>
          </cell>
          <cell r="D440">
            <v>4.6169868777669242E-5</v>
          </cell>
          <cell r="E440">
            <v>5.0877207938572185E-5</v>
          </cell>
          <cell r="F440">
            <v>1.4694880530946583E-5</v>
          </cell>
          <cell r="G440">
            <v>5.4938106120707548E-4</v>
          </cell>
        </row>
        <row r="441">
          <cell r="A441" t="str">
            <v>D-RHES_LTH_CHPWOD</v>
          </cell>
          <cell r="B441" t="str">
            <v>VAR_fout</v>
          </cell>
          <cell r="C441" t="str">
            <v>RHSA_LTH</v>
          </cell>
          <cell r="D441">
            <v>6.4391623988098483E-5</v>
          </cell>
          <cell r="E441">
            <v>9.3815864808082414E-5</v>
          </cell>
          <cell r="F441">
            <v>3.4915507128260264E-5</v>
          </cell>
          <cell r="G441">
            <v>2.3527250865008811E-3</v>
          </cell>
          <cell r="H441">
            <v>1.2244359604710422E-2</v>
          </cell>
          <cell r="I441">
            <v>6.9036596905907369E-3</v>
          </cell>
        </row>
        <row r="442">
          <cell r="A442" t="str">
            <v>D-RHES_LTH_CHPWOD</v>
          </cell>
          <cell r="B442" t="str">
            <v>VAR_fout</v>
          </cell>
          <cell r="C442" t="str">
            <v>LTH</v>
          </cell>
          <cell r="E442">
            <v>2.342863964204969E-6</v>
          </cell>
          <cell r="F442">
            <v>3.1352618434438148E-6</v>
          </cell>
          <cell r="G442">
            <v>4.5110435313451415E-7</v>
          </cell>
          <cell r="H442">
            <v>1.6346047452061034E-5</v>
          </cell>
          <cell r="I442">
            <v>1.3505886578817858E-5</v>
          </cell>
          <cell r="K442"/>
        </row>
        <row r="443">
          <cell r="A443" t="str">
            <v>D-RHES_LTH_CHPWOD</v>
          </cell>
          <cell r="B443" t="str">
            <v>VAR_fin</v>
          </cell>
          <cell r="C443" t="str">
            <v>RHES_LTH_CHPWOD</v>
          </cell>
          <cell r="D443">
            <v>1.1056149276576773E-4</v>
          </cell>
          <cell r="E443">
            <v>1.4703593671085944E-4</v>
          </cell>
          <cell r="F443">
            <v>5.2745649502650641E-5</v>
          </cell>
          <cell r="G443">
            <v>2.9041879456098993E-3</v>
          </cell>
          <cell r="H443">
            <v>1.2260705652162475E-2</v>
          </cell>
          <cell r="I443">
            <v>6.9171655771695512E-3</v>
          </cell>
          <cell r="J443"/>
          <cell r="K443"/>
        </row>
        <row r="444">
          <cell r="A444" t="str">
            <v>ITOT-SWHCONBR</v>
          </cell>
          <cell r="B444" t="str">
            <v>VAR_fout</v>
          </cell>
          <cell r="C444" t="str">
            <v>ITOT-SWHC</v>
          </cell>
          <cell r="F444">
            <v>2.6405411891727859E-4</v>
          </cell>
          <cell r="G444">
            <v>2.6278242105774784E-4</v>
          </cell>
          <cell r="H444">
            <v>1.1332664765660899E-3</v>
          </cell>
          <cell r="I444">
            <v>1.0187248375263368E-3</v>
          </cell>
        </row>
        <row r="445">
          <cell r="A445" t="str">
            <v>ITOT-SWHCONBR</v>
          </cell>
          <cell r="B445" t="str">
            <v>VAR_fin</v>
          </cell>
          <cell r="C445" t="str">
            <v>CON</v>
          </cell>
          <cell r="F445">
            <v>2.6405411891727859E-4</v>
          </cell>
          <cell r="G445">
            <v>2.6278242105774784E-4</v>
          </cell>
          <cell r="H445">
            <v>1.1332664765660899E-3</v>
          </cell>
          <cell r="I445">
            <v>1.0187248375263368E-3</v>
          </cell>
        </row>
        <row r="446">
          <cell r="A446" t="str">
            <v>ITOT-SWHCONBR</v>
          </cell>
          <cell r="B446" t="str">
            <v>VAR_ncap</v>
          </cell>
          <cell r="C446" t="str">
            <v>-</v>
          </cell>
          <cell r="E446">
            <v>1.0277010117097401E-7</v>
          </cell>
          <cell r="F446">
            <v>1.2620906239258901E-5</v>
          </cell>
          <cell r="G446">
            <v>3.20872276586211E-7</v>
          </cell>
          <cell r="H446">
            <v>2.4034671105766001E-7</v>
          </cell>
          <cell r="I446">
            <v>3.7718875400912301E-7</v>
          </cell>
          <cell r="J446"/>
          <cell r="K446"/>
        </row>
        <row r="447">
          <cell r="A447" t="str">
            <v>ITOT-SWHCONBR</v>
          </cell>
          <cell r="B447" t="str">
            <v>VAR_cap</v>
          </cell>
          <cell r="C447" t="str">
            <v>-</v>
          </cell>
          <cell r="E447">
            <v>1.0277010117097401E-7</v>
          </cell>
          <cell r="F447">
            <v>1.2649690836313008E-5</v>
          </cell>
          <cell r="G447">
            <v>1.2929262766905692E-5</v>
          </cell>
          <cell r="H447">
            <v>5.234762582622631E-5</v>
          </cell>
          <cell r="I447">
            <v>5.3961086121904307E-5</v>
          </cell>
        </row>
        <row r="448">
          <cell r="A448" t="str">
            <v>ITOT-SWHSOLBR</v>
          </cell>
          <cell r="B448" t="str">
            <v>VAR_fout</v>
          </cell>
          <cell r="C448" t="str">
            <v>ITOT-SWHASOL</v>
          </cell>
          <cell r="D448">
            <v>6.7704679886547492E-2</v>
          </cell>
          <cell r="E448">
            <v>8.5522872062227848E-2</v>
          </cell>
          <cell r="F448">
            <v>1.520889332072942</v>
          </cell>
          <cell r="G448">
            <v>2.3297968911711315</v>
          </cell>
          <cell r="H448">
            <v>0.87121893147543927</v>
          </cell>
          <cell r="I448">
            <v>1.4457802653556746</v>
          </cell>
        </row>
        <row r="449">
          <cell r="A449" t="str">
            <v>ITOT-SWHSOLBR</v>
          </cell>
          <cell r="B449" t="str">
            <v>VAR_fin</v>
          </cell>
          <cell r="C449" t="str">
            <v>SOL</v>
          </cell>
          <cell r="D449">
            <v>6.7704679886547492E-2</v>
          </cell>
          <cell r="E449">
            <v>8.5522872062227848E-2</v>
          </cell>
          <cell r="F449">
            <v>1.520889332072942</v>
          </cell>
          <cell r="G449">
            <v>2.3297968911711315</v>
          </cell>
          <cell r="H449">
            <v>0.87121893147543927</v>
          </cell>
          <cell r="I449">
            <v>1.4457802653556746</v>
          </cell>
        </row>
        <row r="450">
          <cell r="A450" t="str">
            <v>ITOT-SWHSOLBR</v>
          </cell>
          <cell r="B450" t="str">
            <v>VAR_ncap</v>
          </cell>
          <cell r="C450" t="str">
            <v>-</v>
          </cell>
          <cell r="E450">
            <v>0.32937097852580799</v>
          </cell>
          <cell r="F450">
            <v>5.6433190292298802E-7</v>
          </cell>
          <cell r="G450">
            <v>3.3438836623449001E-6</v>
          </cell>
          <cell r="H450">
            <v>0.17129690123325</v>
          </cell>
          <cell r="I450">
            <v>0.14385685678989801</v>
          </cell>
        </row>
        <row r="451">
          <cell r="A451" t="str">
            <v>ITOT-SWHSOLBR</v>
          </cell>
          <cell r="B451" t="str">
            <v>VAR_cap</v>
          </cell>
          <cell r="C451" t="str">
            <v>-</v>
          </cell>
          <cell r="D451">
            <v>9.8214799778629808E-3</v>
          </cell>
          <cell r="E451">
            <v>0.33919245850367097</v>
          </cell>
          <cell r="F451">
            <v>0.33919302283557395</v>
          </cell>
          <cell r="G451">
            <v>0.33919636671923598</v>
          </cell>
          <cell r="H451">
            <v>0.339190600354979</v>
          </cell>
          <cell r="I451">
            <v>0.339189888946476</v>
          </cell>
        </row>
        <row r="452">
          <cell r="A452" t="str">
            <v>SCOM-SHNGAHP</v>
          </cell>
          <cell r="B452" t="str">
            <v>VAR_fout</v>
          </cell>
          <cell r="C452" t="str">
            <v>SCOM-SHANGAH</v>
          </cell>
          <cell r="F452">
            <v>2.1257415713904337</v>
          </cell>
          <cell r="G452">
            <v>5.0215015118933648</v>
          </cell>
          <cell r="H452">
            <v>7.6363785442623966</v>
          </cell>
          <cell r="I452">
            <v>6.1571698704810043</v>
          </cell>
        </row>
        <row r="453">
          <cell r="A453" t="str">
            <v>SCOM-SHNGAHP</v>
          </cell>
          <cell r="B453" t="str">
            <v>VAR_fout</v>
          </cell>
          <cell r="C453" t="str">
            <v>CO2_S</v>
          </cell>
          <cell r="F453">
            <v>61.924492917505098</v>
          </cell>
          <cell r="G453">
            <v>136.040846408677</v>
          </cell>
          <cell r="H453">
            <v>195.17233018397999</v>
          </cell>
          <cell r="I453">
            <v>144.192526207106</v>
          </cell>
        </row>
        <row r="454">
          <cell r="A454" t="str">
            <v>SCOM-SHNGAHP</v>
          </cell>
          <cell r="B454" t="str">
            <v>VAR_fin</v>
          </cell>
          <cell r="C454" t="str">
            <v>SCOMELCHPC</v>
          </cell>
          <cell r="F454">
            <v>2.1257415713904337</v>
          </cell>
          <cell r="G454">
            <v>5.0215015118933648</v>
          </cell>
          <cell r="H454">
            <v>7.6363785442623966</v>
          </cell>
          <cell r="I454">
            <v>6.1571698704810043</v>
          </cell>
        </row>
        <row r="455">
          <cell r="A455" t="str">
            <v>SCOM-SHNGAHP</v>
          </cell>
          <cell r="B455" t="str">
            <v>VAR_fin</v>
          </cell>
          <cell r="C455" t="str">
            <v>SNGA</v>
          </cell>
          <cell r="F455">
            <v>1.0979520020834233</v>
          </cell>
          <cell r="G455">
            <v>2.4120717448347042</v>
          </cell>
          <cell r="H455">
            <v>3.4605023082265953</v>
          </cell>
          <cell r="I455">
            <v>2.5566050745940747</v>
          </cell>
        </row>
        <row r="456">
          <cell r="A456" t="str">
            <v>SCOM-SHNGAHP</v>
          </cell>
          <cell r="B456" t="str">
            <v>VAR_ncap</v>
          </cell>
          <cell r="C456" t="str">
            <v>-</v>
          </cell>
          <cell r="D456">
            <v>5.3833493496039302E-6</v>
          </cell>
          <cell r="E456">
            <v>6.1764653289364904E-4</v>
          </cell>
          <cell r="F456">
            <v>0.16459866899200001</v>
          </cell>
          <cell r="G456">
            <v>0.22358414706017801</v>
          </cell>
          <cell r="H456">
            <v>0.29521118134530899</v>
          </cell>
          <cell r="I456">
            <v>0.21697177786539701</v>
          </cell>
        </row>
        <row r="457">
          <cell r="A457" t="str">
            <v>SCOM-SHNGAHP</v>
          </cell>
          <cell r="B457" t="str">
            <v>VAR_cap</v>
          </cell>
          <cell r="C457" t="str">
            <v>-</v>
          </cell>
          <cell r="D457">
            <v>5.3833493496039302E-6</v>
          </cell>
          <cell r="E457">
            <v>6.2118605100920481E-4</v>
          </cell>
          <cell r="F457">
            <v>0.16521864128618952</v>
          </cell>
          <cell r="G457">
            <v>0.38880141603903073</v>
          </cell>
          <cell r="H457">
            <v>0.59463567713943632</v>
          </cell>
          <cell r="I457">
            <v>0.48094603057499513</v>
          </cell>
        </row>
        <row r="458">
          <cell r="A458" t="str">
            <v>RHNS-SHNGABR</v>
          </cell>
          <cell r="B458" t="str">
            <v>VAR_fout</v>
          </cell>
          <cell r="C458" t="str">
            <v>CO2_R</v>
          </cell>
          <cell r="E458">
            <v>6.0663916975054004</v>
          </cell>
          <cell r="F458">
            <v>0.99855037469791097</v>
          </cell>
          <cell r="G458">
            <v>2.2173224641299201</v>
          </cell>
          <cell r="H458">
            <v>3.3412105512295298</v>
          </cell>
          <cell r="I458">
            <v>2.6739867349034299</v>
          </cell>
        </row>
        <row r="459">
          <cell r="A459" t="str">
            <v>RHNS-SHNGABR</v>
          </cell>
          <cell r="B459" t="str">
            <v>VAR_fout</v>
          </cell>
          <cell r="C459" t="str">
            <v>RHNS-SHNGA</v>
          </cell>
          <cell r="E459">
            <v>0.10218212965656276</v>
          </cell>
          <cell r="F459">
            <v>1.6994904307660808E-2</v>
          </cell>
          <cell r="G459">
            <v>3.7737888895705299E-2</v>
          </cell>
          <cell r="H459">
            <v>5.6865987964874576E-2</v>
          </cell>
          <cell r="I459">
            <v>4.5510121302980135E-2</v>
          </cell>
        </row>
        <row r="460">
          <cell r="A460" t="str">
            <v>RHNS-SHNGABR</v>
          </cell>
          <cell r="B460" t="str">
            <v>VAR_fin</v>
          </cell>
          <cell r="C460" t="str">
            <v>RNGA</v>
          </cell>
          <cell r="E460">
            <v>0.10756013648059236</v>
          </cell>
          <cell r="F460">
            <v>1.7704793877622534E-2</v>
          </cell>
          <cell r="G460">
            <v>3.931422808740994E-2</v>
          </cell>
          <cell r="H460">
            <v>5.9241321830310771E-2</v>
          </cell>
          <cell r="I460">
            <v>4.7411112320982808E-2</v>
          </cell>
        </row>
        <row r="461">
          <cell r="A461" t="str">
            <v>RHNS-SHNGABR</v>
          </cell>
          <cell r="B461" t="str">
            <v>VAR_ncap</v>
          </cell>
          <cell r="C461" t="str">
            <v>-</v>
          </cell>
          <cell r="E461">
            <v>7.8032254511874498E-3</v>
          </cell>
          <cell r="F461">
            <v>1.04234310593912E-5</v>
          </cell>
          <cell r="G461">
            <v>7.8298799848394194E-6</v>
          </cell>
          <cell r="H461">
            <v>4.1807333120002397E-3</v>
          </cell>
          <cell r="I461">
            <v>3.8309919607895301E-4</v>
          </cell>
        </row>
        <row r="462">
          <cell r="A462" t="str">
            <v>RHNS-SHNGABR</v>
          </cell>
          <cell r="B462" t="str">
            <v>VAR_cap</v>
          </cell>
          <cell r="C462" t="str">
            <v>-</v>
          </cell>
          <cell r="E462">
            <v>7.8032254511874498E-3</v>
          </cell>
          <cell r="F462">
            <v>7.8089781187024206E-3</v>
          </cell>
          <cell r="G462">
            <v>7.8098045844687391E-3</v>
          </cell>
          <cell r="H462">
            <v>4.7852075491278678E-3</v>
          </cell>
          <cell r="I462">
            <v>3.6684317324680417E-3</v>
          </cell>
        </row>
        <row r="463">
          <cell r="A463" t="str">
            <v>D-RHNM_LTH_CHPNGA</v>
          </cell>
          <cell r="B463" t="str">
            <v>VAR_fout</v>
          </cell>
          <cell r="C463" t="str">
            <v>RHSA_LTH</v>
          </cell>
          <cell r="D463">
            <v>7.3123019410706574E-5</v>
          </cell>
          <cell r="E463">
            <v>2.1122030827060319E-4</v>
          </cell>
          <cell r="F463">
            <v>2.7437179207379682E-2</v>
          </cell>
          <cell r="G463">
            <v>-4.6035652815618819E-5</v>
          </cell>
          <cell r="H463">
            <v>0.92509859456033605</v>
          </cell>
          <cell r="I463">
            <v>0.66434022088514388</v>
          </cell>
        </row>
        <row r="464">
          <cell r="A464" t="str">
            <v>D-RHNM_LTH_CHPNGA</v>
          </cell>
          <cell r="B464" t="str">
            <v>VAR_fout</v>
          </cell>
          <cell r="C464" t="str">
            <v>LTH</v>
          </cell>
          <cell r="F464">
            <v>8.6648143810291252E-6</v>
          </cell>
          <cell r="H464">
            <v>1.3484244703091796E-3</v>
          </cell>
          <cell r="I464">
            <v>8.7306709116919355E-4</v>
          </cell>
        </row>
        <row r="465">
          <cell r="A465" t="str">
            <v>D-RHNM_LTH_CHPNGA</v>
          </cell>
          <cell r="B465" t="str">
            <v>VAR_fout</v>
          </cell>
          <cell r="C465" t="str">
            <v>RHNM_LTH_CHPNGA_ON</v>
          </cell>
          <cell r="D465">
            <v>5.177983373665592E-5</v>
          </cell>
          <cell r="E465">
            <v>2.7317001153082756E-3</v>
          </cell>
          <cell r="G465">
            <v>-1.9709773239089308E-5</v>
          </cell>
        </row>
        <row r="466">
          <cell r="A466" t="str">
            <v>D-RHNM_LTH_CHPNGA</v>
          </cell>
          <cell r="B466" t="str">
            <v>VAR_fin</v>
          </cell>
          <cell r="C466" t="str">
            <v>RHNM_LTH_CHPNGA</v>
          </cell>
          <cell r="D466">
            <v>1.2490285314736247E-4</v>
          </cell>
          <cell r="E466">
            <v>2.9441898887561544E-3</v>
          </cell>
          <cell r="F466">
            <v>2.7446283170110403E-2</v>
          </cell>
          <cell r="G466">
            <v>-6.51909255864699E-5</v>
          </cell>
          <cell r="H466">
            <v>0.92644701903064464</v>
          </cell>
          <cell r="I466">
            <v>0.66521328797631263</v>
          </cell>
        </row>
        <row r="467">
          <cell r="A467" t="str">
            <v>RHNM-SHELCHP</v>
          </cell>
          <cell r="B467" t="str">
            <v>VAR_fout</v>
          </cell>
          <cell r="C467" t="str">
            <v>RHNM-SHAELCH</v>
          </cell>
          <cell r="E467">
            <v>3.7230575511908834E-3</v>
          </cell>
          <cell r="F467">
            <v>0.90840737928537596</v>
          </cell>
          <cell r="G467">
            <v>1.3673689446027764</v>
          </cell>
          <cell r="H467">
            <v>1.9440856545651322</v>
          </cell>
          <cell r="I467">
            <v>2.2821673946831718</v>
          </cell>
        </row>
        <row r="468">
          <cell r="A468" t="str">
            <v>RHNM-SHELCHP</v>
          </cell>
          <cell r="B468" t="str">
            <v>VAR_fin</v>
          </cell>
          <cell r="C468" t="str">
            <v>RHNM_ELC</v>
          </cell>
          <cell r="E468">
            <v>1.1443824440135928E-3</v>
          </cell>
          <cell r="F468">
            <v>0.26349689154814815</v>
          </cell>
          <cell r="G468">
            <v>0.37488825506775464</v>
          </cell>
          <cell r="H468">
            <v>0.49366731024317473</v>
          </cell>
          <cell r="I468">
            <v>0.52998831620499742</v>
          </cell>
        </row>
        <row r="469">
          <cell r="A469" t="str">
            <v>RHNM-SHELCHP</v>
          </cell>
          <cell r="B469" t="str">
            <v>VAR_fin</v>
          </cell>
          <cell r="C469" t="str">
            <v>RHNMELCHPC</v>
          </cell>
          <cell r="E469">
            <v>3.7230575511908834E-3</v>
          </cell>
          <cell r="F469">
            <v>0.90840737928537596</v>
          </cell>
          <cell r="G469">
            <v>1.3673689446027764</v>
          </cell>
          <cell r="H469">
            <v>1.9440856545651322</v>
          </cell>
          <cell r="I469">
            <v>2.2821673946831718</v>
          </cell>
        </row>
        <row r="470">
          <cell r="A470" t="str">
            <v>RHNM-SHELCHP</v>
          </cell>
          <cell r="B470" t="str">
            <v>VAR_ncap</v>
          </cell>
          <cell r="C470" t="str">
            <v>-</v>
          </cell>
          <cell r="E470">
            <v>3.3000185483404998E-3</v>
          </cell>
          <cell r="F470">
            <v>6.8876913871696102E-2</v>
          </cell>
          <cell r="G470">
            <v>3.4971448319088501E-2</v>
          </cell>
          <cell r="H470">
            <v>8.6334519517046293E-2</v>
          </cell>
          <cell r="I470">
            <v>0.10281487871407601</v>
          </cell>
        </row>
        <row r="471">
          <cell r="A471" t="str">
            <v>RHNM-SHELCHP</v>
          </cell>
          <cell r="B471" t="str">
            <v>VAR_cap</v>
          </cell>
          <cell r="C471" t="str">
            <v>-</v>
          </cell>
          <cell r="E471">
            <v>3.3000185483404998E-3</v>
          </cell>
          <cell r="F471">
            <v>7.217496858195932E-2</v>
          </cell>
          <cell r="G471">
            <v>0.10714339931934876</v>
          </cell>
          <cell r="H471">
            <v>0.15222311109039513</v>
          </cell>
          <cell r="I471">
            <v>0.1780768578567018</v>
          </cell>
        </row>
        <row r="472">
          <cell r="A472" t="str">
            <v>D-IH2R</v>
          </cell>
          <cell r="B472" t="str">
            <v>VAR_fout</v>
          </cell>
          <cell r="C472" t="str">
            <v>IH2</v>
          </cell>
          <cell r="H472">
            <v>3.4333571425248572</v>
          </cell>
          <cell r="I472">
            <v>8.8052324959235815</v>
          </cell>
        </row>
        <row r="473">
          <cell r="A473" t="str">
            <v>D-IH2R</v>
          </cell>
          <cell r="B473" t="str">
            <v>VAR_fin</v>
          </cell>
          <cell r="C473" t="str">
            <v>H2</v>
          </cell>
          <cell r="H473">
            <v>3.4333571425248572</v>
          </cell>
          <cell r="I473">
            <v>8.8052324959235815</v>
          </cell>
        </row>
        <row r="474">
          <cell r="A474" t="str">
            <v>D-IH2R</v>
          </cell>
          <cell r="B474" t="str">
            <v>VAR_ncap</v>
          </cell>
          <cell r="C474" t="str">
            <v>-</v>
          </cell>
          <cell r="G474">
            <v>5.2987517504120304E-6</v>
          </cell>
          <cell r="H474">
            <v>0.12118468877643999</v>
          </cell>
          <cell r="I474">
            <v>0.26875663018248702</v>
          </cell>
        </row>
        <row r="475">
          <cell r="A475" t="str">
            <v>D-IH2R</v>
          </cell>
          <cell r="B475" t="str">
            <v>VAR_cap</v>
          </cell>
          <cell r="C475" t="str">
            <v>-</v>
          </cell>
          <cell r="G475">
            <v>5.2987517504120304E-6</v>
          </cell>
          <cell r="H475">
            <v>0.14296886539297901</v>
          </cell>
          <cell r="I475">
            <v>0.31026496086851801</v>
          </cell>
        </row>
        <row r="476">
          <cell r="A476" t="str">
            <v>RHEM-SHSTG-ELC</v>
          </cell>
          <cell r="B476" t="str">
            <v>VAR_fout</v>
          </cell>
          <cell r="C476" t="str">
            <v>RHEM-SHAELCB</v>
          </cell>
          <cell r="D476">
            <v>8.4421376246937606E-7</v>
          </cell>
          <cell r="E476">
            <v>0.47613776049425022</v>
          </cell>
          <cell r="F476">
            <v>3.2836294615862004E-3</v>
          </cell>
          <cell r="G476">
            <v>5.0172505366222501E-4</v>
          </cell>
          <cell r="H476">
            <v>1.5348809757541578E-4</v>
          </cell>
          <cell r="I476">
            <v>7.5011231871203042E-5</v>
          </cell>
        </row>
        <row r="477">
          <cell r="A477" t="str">
            <v>RHEM-SHSTG-ELC</v>
          </cell>
          <cell r="B477" t="str">
            <v>VAR_fin</v>
          </cell>
          <cell r="C477" t="str">
            <v>RHEM-SHAELCB</v>
          </cell>
          <cell r="D477">
            <v>1.6338146463238312E-5</v>
          </cell>
          <cell r="E477">
            <v>0.47615716762799826</v>
          </cell>
          <cell r="F477">
            <v>3.2719259102217111E-3</v>
          </cell>
          <cell r="G477">
            <v>4.9068274615988745E-4</v>
          </cell>
          <cell r="H477">
            <v>1.5649016083286164E-4</v>
          </cell>
          <cell r="I477">
            <v>7.4849452443954211E-5</v>
          </cell>
        </row>
        <row r="478">
          <cell r="A478" t="str">
            <v>RHEM-SHSTG-ELC</v>
          </cell>
          <cell r="B478" t="str">
            <v>VAR_ncap</v>
          </cell>
          <cell r="C478" t="str">
            <v>-</v>
          </cell>
          <cell r="D478">
            <v>5.0416434224007399E-2</v>
          </cell>
          <cell r="E478">
            <v>1.56055344352561E-3</v>
          </cell>
          <cell r="F478">
            <v>1.18263540081836E-4</v>
          </cell>
          <cell r="G478">
            <v>9.7139137697017504E-5</v>
          </cell>
          <cell r="H478">
            <v>5.0580824036761E-5</v>
          </cell>
          <cell r="I478">
            <v>2.4530688048842799E-5</v>
          </cell>
        </row>
        <row r="479">
          <cell r="A479" t="str">
            <v>RHEM-SHSTG-ELC</v>
          </cell>
          <cell r="B479" t="str">
            <v>VAR_cap</v>
          </cell>
          <cell r="C479" t="str">
            <v>-</v>
          </cell>
          <cell r="D479">
            <v>5.0416434224007399E-2</v>
          </cell>
          <cell r="E479">
            <v>5.1371693037160424E-2</v>
          </cell>
          <cell r="F479">
            <v>1.0459914632408029E-3</v>
          </cell>
          <cell r="G479">
            <v>2.3419041710460303E-4</v>
          </cell>
          <cell r="H479">
            <v>6.670125505125099E-5</v>
          </cell>
          <cell r="I479">
            <v>3.5277779146616401E-5</v>
          </cell>
        </row>
        <row r="480">
          <cell r="A480" t="str">
            <v>RHNM-SHLTHCHPWOD</v>
          </cell>
          <cell r="B480" t="str">
            <v>VAR_ncap</v>
          </cell>
          <cell r="C480" t="str">
            <v>-</v>
          </cell>
          <cell r="G480">
            <v>5.2198197719948195E-4</v>
          </cell>
          <cell r="H480">
            <v>2.0793842003235898E-3</v>
          </cell>
          <cell r="I480">
            <v>8.4103016527034395E-4</v>
          </cell>
        </row>
        <row r="481">
          <cell r="A481" t="str">
            <v>RHNM-SHLTHCHPWOD</v>
          </cell>
          <cell r="B481" t="str">
            <v>VAR_cap</v>
          </cell>
          <cell r="C481" t="str">
            <v>-</v>
          </cell>
          <cell r="G481">
            <v>5.2198197719948195E-4</v>
          </cell>
          <cell r="H481">
            <v>3.5292304912730799E-3</v>
          </cell>
          <cell r="I481">
            <v>1.53870782134522E-3</v>
          </cell>
        </row>
        <row r="482">
          <cell r="A482" t="str">
            <v>ITOT-SWHDEM</v>
          </cell>
          <cell r="B482" t="str">
            <v>VAR_fout</v>
          </cell>
          <cell r="C482" t="str">
            <v>ITOT-SWHD</v>
          </cell>
          <cell r="D482">
            <v>72.708169056255471</v>
          </cell>
          <cell r="E482">
            <v>74.111154758224004</v>
          </cell>
          <cell r="F482">
            <v>75.692598758160898</v>
          </cell>
          <cell r="G482">
            <v>76.679221044440467</v>
          </cell>
          <cell r="H482">
            <v>77.235103262790986</v>
          </cell>
          <cell r="I482">
            <v>77.836443425572725</v>
          </cell>
        </row>
        <row r="483">
          <cell r="A483" t="str">
            <v>ITOT-SWHDEM</v>
          </cell>
          <cell r="B483" t="str">
            <v>VAR_fin</v>
          </cell>
          <cell r="C483" t="str">
            <v>ITOT-SWHNGAH</v>
          </cell>
          <cell r="F483">
            <v>2.9005529523559156E-2</v>
          </cell>
          <cell r="G483">
            <v>5.2705300083368227E-5</v>
          </cell>
          <cell r="H483">
            <v>1.2295841647988241E-2</v>
          </cell>
          <cell r="I483">
            <v>4.5358500944137521E-2</v>
          </cell>
        </row>
        <row r="484">
          <cell r="A484" t="str">
            <v>ITOT-SWHDEM</v>
          </cell>
          <cell r="B484" t="str">
            <v>VAR_fin</v>
          </cell>
          <cell r="C484" t="str">
            <v>ITOT-SWH</v>
          </cell>
          <cell r="D484">
            <v>61.718270470336051</v>
          </cell>
          <cell r="E484">
            <v>58.034412780971451</v>
          </cell>
          <cell r="F484">
            <v>54.295216356532983</v>
          </cell>
          <cell r="G484">
            <v>36.16588250176158</v>
          </cell>
          <cell r="H484">
            <v>34.932040376987075</v>
          </cell>
          <cell r="I484">
            <v>34.233846141924765</v>
          </cell>
        </row>
        <row r="485">
          <cell r="A485" t="str">
            <v>ITOT-SWHDEM</v>
          </cell>
          <cell r="B485" t="str">
            <v>VAR_fin</v>
          </cell>
          <cell r="C485" t="str">
            <v>ITOT-SWHELCH</v>
          </cell>
          <cell r="D485">
            <v>1.1081275654045448</v>
          </cell>
          <cell r="E485">
            <v>1.4008066002807544</v>
          </cell>
          <cell r="F485">
            <v>3.3426087412865941</v>
          </cell>
          <cell r="G485">
            <v>4.5363277849534978</v>
          </cell>
          <cell r="H485">
            <v>4.5181106181948003</v>
          </cell>
          <cell r="I485">
            <v>4.9423560605513934</v>
          </cell>
        </row>
        <row r="486">
          <cell r="A486" t="str">
            <v>ITOT-SWHDEM</v>
          </cell>
          <cell r="B486" t="str">
            <v>VAR_fin</v>
          </cell>
          <cell r="C486" t="str">
            <v>ITOT-SWHC</v>
          </cell>
          <cell r="E486">
            <v>4.2560758177002809</v>
          </cell>
          <cell r="F486">
            <v>4.2570125984093634</v>
          </cell>
          <cell r="G486">
            <v>21.357872071518461</v>
          </cell>
          <cell r="H486">
            <v>24.843827126877621</v>
          </cell>
          <cell r="I486">
            <v>24.997175003693371</v>
          </cell>
        </row>
        <row r="487">
          <cell r="A487" t="str">
            <v>ITOT-SWHDEM</v>
          </cell>
          <cell r="B487" t="str">
            <v>VAR_fin</v>
          </cell>
          <cell r="C487" t="str">
            <v>ITOT-SWHELC</v>
          </cell>
          <cell r="D487">
            <v>9.8140209992019933</v>
          </cell>
          <cell r="E487">
            <v>10.335098589653077</v>
          </cell>
          <cell r="F487">
            <v>12.25383096785688</v>
          </cell>
          <cell r="G487">
            <v>12.289799039039774</v>
          </cell>
          <cell r="H487">
            <v>12.065012614517599</v>
          </cell>
          <cell r="I487">
            <v>12.173514796220566</v>
          </cell>
        </row>
        <row r="488">
          <cell r="A488" t="str">
            <v>ITOT-SWHDEM</v>
          </cell>
          <cell r="B488" t="str">
            <v>VAR_fin</v>
          </cell>
          <cell r="C488" t="str">
            <v>ITOT-SWHSOL</v>
          </cell>
          <cell r="D488">
            <v>6.7750021312904668E-2</v>
          </cell>
          <cell r="E488">
            <v>8.5622728373620074E-2</v>
          </cell>
          <cell r="F488">
            <v>1.5157125066567436</v>
          </cell>
          <cell r="G488">
            <v>2.329823160225867</v>
          </cell>
          <cell r="H488">
            <v>0.86447519866104205</v>
          </cell>
          <cell r="I488">
            <v>1.4446726246771631</v>
          </cell>
        </row>
        <row r="489">
          <cell r="A489" t="str">
            <v>D-RHNS_NKEV_GAS_ELC_CHP</v>
          </cell>
          <cell r="B489" t="str">
            <v>VAR_fout</v>
          </cell>
          <cell r="C489" t="str">
            <v>RHNS_ELC</v>
          </cell>
          <cell r="E489">
            <v>3.4687137126585877E-4</v>
          </cell>
          <cell r="F489">
            <v>1.5313139543412027E-3</v>
          </cell>
          <cell r="G489">
            <v>2.5352046754432544E-5</v>
          </cell>
          <cell r="H489">
            <v>7.7741799424001648E-3</v>
          </cell>
          <cell r="I489">
            <v>6.9010615473320122E-3</v>
          </cell>
        </row>
        <row r="490">
          <cell r="A490" t="str">
            <v>D-RHNS_NKEV_GAS_ELC_CHP</v>
          </cell>
          <cell r="B490" t="str">
            <v>VAR_fout</v>
          </cell>
          <cell r="C490" t="str">
            <v>ELC5</v>
          </cell>
          <cell r="E490">
            <v>3.4662545823497181E-4</v>
          </cell>
          <cell r="F490">
            <v>1.5324180472289456E-3</v>
          </cell>
          <cell r="G490">
            <v>2.5420667302060526E-5</v>
          </cell>
          <cell r="H490">
            <v>7.844579474170995E-3</v>
          </cell>
          <cell r="I490">
            <v>6.9231576562460324E-3</v>
          </cell>
        </row>
        <row r="491">
          <cell r="A491" t="str">
            <v>D-RHNS_NKEV_GAS_ELC_CHP</v>
          </cell>
          <cell r="B491" t="str">
            <v>VAR_fin</v>
          </cell>
          <cell r="C491" t="str">
            <v>RHNS_NKEV_GAS_ELC_CHP</v>
          </cell>
          <cell r="E491">
            <v>6.9349682950082983E-4</v>
          </cell>
          <cell r="F491">
            <v>3.026277808936619E-3</v>
          </cell>
          <cell r="G491">
            <v>5.07727140564931E-5</v>
          </cell>
          <cell r="H491">
            <v>1.5618759416571154E-2</v>
          </cell>
          <cell r="I491">
            <v>1.3824219203578047E-2</v>
          </cell>
        </row>
        <row r="492">
          <cell r="A492" t="str">
            <v>RHNM-SHSTG-NGAHP</v>
          </cell>
          <cell r="B492" t="str">
            <v>VAR_fout</v>
          </cell>
          <cell r="C492" t="str">
            <v>RHNM-SHANGAH</v>
          </cell>
          <cell r="F492">
            <v>1.2863614844236558E-2</v>
          </cell>
          <cell r="G492">
            <v>5.7641140374713122E-2</v>
          </cell>
          <cell r="H492">
            <v>7.8149534012910485E-2</v>
          </cell>
          <cell r="I492">
            <v>8.4467845027936611E-2</v>
          </cell>
        </row>
        <row r="493">
          <cell r="A493" t="str">
            <v>RHNM-SHSTG-NGAHP</v>
          </cell>
          <cell r="B493" t="str">
            <v>VAR_fin</v>
          </cell>
          <cell r="C493" t="str">
            <v>RHNM-SHANGAH</v>
          </cell>
          <cell r="F493">
            <v>1.2943249397876845E-2</v>
          </cell>
          <cell r="G493">
            <v>5.7718825477924667E-2</v>
          </cell>
          <cell r="H493">
            <v>7.8185799148183813E-2</v>
          </cell>
          <cell r="I493">
            <v>8.4532958597972246E-2</v>
          </cell>
        </row>
        <row r="494">
          <cell r="A494" t="str">
            <v>RHNM-SHSTG-NGAHP</v>
          </cell>
          <cell r="B494" t="str">
            <v>VAR_ncap</v>
          </cell>
          <cell r="C494" t="str">
            <v>-</v>
          </cell>
          <cell r="D494">
            <v>1.9896758980648399E-4</v>
          </cell>
          <cell r="E494">
            <v>3.8849069235577897E-5</v>
          </cell>
          <cell r="F494">
            <v>4.73620645377942E-3</v>
          </cell>
          <cell r="G494">
            <v>1.04851028291639E-2</v>
          </cell>
          <cell r="H494">
            <v>1.17155789127134E-2</v>
          </cell>
          <cell r="I494">
            <v>1.2133797981944101E-2</v>
          </cell>
        </row>
        <row r="495">
          <cell r="A495" t="str">
            <v>RHNM-SHSTG-NGAHP</v>
          </cell>
          <cell r="B495" t="str">
            <v>VAR_cap</v>
          </cell>
          <cell r="C495" t="str">
            <v>-</v>
          </cell>
          <cell r="D495">
            <v>1.9896758980648399E-4</v>
          </cell>
          <cell r="E495">
            <v>4.651944541938011E-6</v>
          </cell>
          <cell r="F495">
            <v>4.7130000414850673E-3</v>
          </cell>
          <cell r="G495">
            <v>1.5040899827492616E-2</v>
          </cell>
          <cell r="H495">
            <v>2.5023022474472731E-2</v>
          </cell>
          <cell r="I495">
            <v>2.2708374629338814E-2</v>
          </cell>
        </row>
        <row r="496">
          <cell r="A496" t="str">
            <v>D-IBIO</v>
          </cell>
          <cell r="B496" t="str">
            <v>VAR_fout</v>
          </cell>
          <cell r="C496" t="str">
            <v>IBIO</v>
          </cell>
          <cell r="D496">
            <v>0.43674736441125178</v>
          </cell>
          <cell r="E496">
            <v>0.5520705877396842</v>
          </cell>
          <cell r="F496">
            <v>2.2236652505444683</v>
          </cell>
          <cell r="G496">
            <v>2.2243584945026331</v>
          </cell>
          <cell r="H496">
            <v>2.2250378243742728</v>
          </cell>
          <cell r="I496">
            <v>3.7774466188892841</v>
          </cell>
        </row>
        <row r="497">
          <cell r="A497" t="str">
            <v>D-IBIO</v>
          </cell>
          <cell r="B497" t="str">
            <v>VAR_fin</v>
          </cell>
          <cell r="C497" t="str">
            <v>BIO</v>
          </cell>
          <cell r="D497">
            <v>0.43674736441125178</v>
          </cell>
          <cell r="E497">
            <v>0.5520705877396842</v>
          </cell>
          <cell r="F497">
            <v>2.2236652505444683</v>
          </cell>
          <cell r="G497">
            <v>2.2243584945026331</v>
          </cell>
          <cell r="H497">
            <v>2.2250378243742728</v>
          </cell>
          <cell r="I497">
            <v>3.7774466188892841</v>
          </cell>
        </row>
        <row r="498">
          <cell r="A498" t="str">
            <v>D-RHES_KEV_WOD_ELC_CHP</v>
          </cell>
          <cell r="B498" t="str">
            <v>VAR_fout</v>
          </cell>
          <cell r="C498" t="str">
            <v>RHES_ELC</v>
          </cell>
          <cell r="G498">
            <v>5.1676870347669478E-4</v>
          </cell>
          <cell r="H498">
            <v>3.4724127468121146E-3</v>
          </cell>
          <cell r="I498">
            <v>1.6374629152546565E-3</v>
          </cell>
        </row>
        <row r="499">
          <cell r="A499" t="str">
            <v>D-RHES_KEV_WOD_ELC_CHP</v>
          </cell>
          <cell r="B499" t="str">
            <v>VAR_fout</v>
          </cell>
          <cell r="C499" t="str">
            <v>ELC5</v>
          </cell>
          <cell r="G499">
            <v>6.1267261880306237E-4</v>
          </cell>
          <cell r="H499">
            <v>3.4783563109742743E-3</v>
          </cell>
          <cell r="I499">
            <v>1.6393059256940669E-3</v>
          </cell>
        </row>
        <row r="500">
          <cell r="A500" t="str">
            <v>D-RHES_KEV_WOD_ELC_CHP</v>
          </cell>
          <cell r="B500" t="str">
            <v>VAR_fin</v>
          </cell>
          <cell r="C500" t="str">
            <v>RHES_KEV_WOD_ELC_CHP</v>
          </cell>
          <cell r="G500">
            <v>1.1184593825819243E-3</v>
          </cell>
          <cell r="H500">
            <v>6.9183439225539182E-3</v>
          </cell>
          <cell r="I500">
            <v>3.2563437276872916E-3</v>
          </cell>
        </row>
        <row r="501">
          <cell r="A501" t="str">
            <v>RHNS-SHLFOBR</v>
          </cell>
          <cell r="B501" t="str">
            <v>VAR_fout</v>
          </cell>
          <cell r="C501" t="str">
            <v>CO2_R</v>
          </cell>
          <cell r="E501">
            <v>4.9164915152536202E-2</v>
          </cell>
          <cell r="F501">
            <v>2.5533742899746299</v>
          </cell>
          <cell r="G501">
            <v>2.7211852376738999</v>
          </cell>
          <cell r="H501">
            <v>1.9829103602142399</v>
          </cell>
        </row>
        <row r="502">
          <cell r="A502" t="str">
            <v>RHNS-SHLFOBR</v>
          </cell>
          <cell r="B502" t="str">
            <v>VAR_fout</v>
          </cell>
          <cell r="C502" t="str">
            <v>RHNS-SHLFO</v>
          </cell>
          <cell r="E502">
            <v>5.9760610344839892E-4</v>
          </cell>
          <cell r="F502">
            <v>3.2780455935739077E-2</v>
          </cell>
          <cell r="G502">
            <v>3.4951679350890795E-2</v>
          </cell>
          <cell r="H502">
            <v>2.5469066248136395E-2</v>
          </cell>
        </row>
        <row r="503">
          <cell r="A503" t="str">
            <v>RHNS-SHLFOBR</v>
          </cell>
          <cell r="B503" t="str">
            <v>VAR_fin</v>
          </cell>
          <cell r="C503" t="str">
            <v>RLFO</v>
          </cell>
          <cell r="E503">
            <v>6.6709518524472378E-4</v>
          </cell>
          <cell r="F503">
            <v>3.4645512754065459E-2</v>
          </cell>
          <cell r="G503">
            <v>3.6922459127189985E-2</v>
          </cell>
          <cell r="H503">
            <v>2.6905160925566274E-2</v>
          </cell>
        </row>
        <row r="504">
          <cell r="A504" t="str">
            <v>RHNS-SHLFOBR</v>
          </cell>
          <cell r="B504" t="str">
            <v>VAR_ncap</v>
          </cell>
          <cell r="C504" t="str">
            <v>-</v>
          </cell>
          <cell r="E504">
            <v>2.31782709511232E-4</v>
          </cell>
          <cell r="F504">
            <v>1.06842022171416E-2</v>
          </cell>
        </row>
        <row r="505">
          <cell r="A505" t="str">
            <v>RHNS-SHLFOBR</v>
          </cell>
          <cell r="B505" t="str">
            <v>VAR_cap</v>
          </cell>
          <cell r="C505" t="str">
            <v>-</v>
          </cell>
          <cell r="E505">
            <v>2.31782709511232E-4</v>
          </cell>
          <cell r="F505">
            <v>1.0891034211592087E-2</v>
          </cell>
          <cell r="G505">
            <v>1.08519918006255E-2</v>
          </cell>
          <cell r="H505">
            <v>1.892073059765064E-3</v>
          </cell>
        </row>
        <row r="506">
          <cell r="A506" t="str">
            <v>D-SNGA</v>
          </cell>
          <cell r="B506" t="str">
            <v>VAR_fout</v>
          </cell>
          <cell r="C506" t="str">
            <v>CO2</v>
          </cell>
          <cell r="D506">
            <v>1531.1157641596001</v>
          </cell>
          <cell r="E506">
            <v>1509.0083738590599</v>
          </cell>
          <cell r="F506">
            <v>1250.3327362170401</v>
          </cell>
          <cell r="G506">
            <v>813.36564766532797</v>
          </cell>
          <cell r="H506">
            <v>830.58722876649904</v>
          </cell>
          <cell r="I506">
            <v>280.56514376185498</v>
          </cell>
        </row>
        <row r="507">
          <cell r="A507" t="str">
            <v>D-SNGA</v>
          </cell>
          <cell r="B507" t="str">
            <v>VAR_fout</v>
          </cell>
          <cell r="C507" t="str">
            <v>SNGA</v>
          </cell>
          <cell r="D507">
            <v>27.362049787638764</v>
          </cell>
          <cell r="E507">
            <v>27.294776413269968</v>
          </cell>
          <cell r="F507">
            <v>22.558275358236475</v>
          </cell>
          <cell r="G507">
            <v>16.34347240413241</v>
          </cell>
          <cell r="H507">
            <v>15.788017241961386</v>
          </cell>
          <cell r="I507">
            <v>4.9615526253838294</v>
          </cell>
        </row>
        <row r="508">
          <cell r="A508" t="str">
            <v>D-SNGA</v>
          </cell>
          <cell r="B508" t="str">
            <v>VAR_fout</v>
          </cell>
          <cell r="C508" t="str">
            <v>RSH2</v>
          </cell>
          <cell r="G508">
            <v>1.1355388563094781E-3</v>
          </cell>
          <cell r="H508">
            <v>2.8426652660524816E-3</v>
          </cell>
          <cell r="I508">
            <v>1.4534002680867075E-2</v>
          </cell>
        </row>
        <row r="509">
          <cell r="A509" t="str">
            <v>D-SNGA</v>
          </cell>
          <cell r="B509" t="str">
            <v>VAR_fin</v>
          </cell>
          <cell r="C509" t="str">
            <v>NGA</v>
          </cell>
          <cell r="D509">
            <v>27.147442626943267</v>
          </cell>
          <cell r="E509">
            <v>26.755467621614581</v>
          </cell>
          <cell r="F509">
            <v>22.169020145692201</v>
          </cell>
          <cell r="G509">
            <v>14.421376731654766</v>
          </cell>
          <cell r="H509">
            <v>14.726723914299647</v>
          </cell>
          <cell r="I509">
            <v>4.9745592865577013</v>
          </cell>
        </row>
        <row r="510">
          <cell r="A510" t="str">
            <v>D-SNGA</v>
          </cell>
          <cell r="B510" t="str">
            <v>VAR_fin</v>
          </cell>
          <cell r="C510" t="str">
            <v>BNGA</v>
          </cell>
          <cell r="D510">
            <v>0.30201850091660654</v>
          </cell>
          <cell r="E510">
            <v>0.6265052190370185</v>
          </cell>
          <cell r="F510">
            <v>0.46132032087660024</v>
          </cell>
          <cell r="G510">
            <v>1.9745642638810892</v>
          </cell>
          <cell r="H510">
            <v>1.1127201900858277</v>
          </cell>
          <cell r="I510">
            <v>3.5623615037481825E-3</v>
          </cell>
        </row>
        <row r="511">
          <cell r="A511" t="str">
            <v>D-SNGA</v>
          </cell>
          <cell r="B511" t="str">
            <v>VAR_fin</v>
          </cell>
          <cell r="C511" t="str">
            <v>H2</v>
          </cell>
          <cell r="G511">
            <v>1.1316719063297692E-3</v>
          </cell>
          <cell r="H511">
            <v>2.8418956419887643E-3</v>
          </cell>
          <cell r="I511">
            <v>1.4532274530591797E-2</v>
          </cell>
        </row>
        <row r="512">
          <cell r="A512" t="str">
            <v>D-SNGA</v>
          </cell>
          <cell r="B512" t="str">
            <v>VAR_ncap</v>
          </cell>
          <cell r="C512" t="str">
            <v>-</v>
          </cell>
          <cell r="D512">
            <v>3.8323981593003703E-5</v>
          </cell>
          <cell r="E512">
            <v>1.8531777102258901E-6</v>
          </cell>
          <cell r="F512">
            <v>2.6713498114302501E-6</v>
          </cell>
          <cell r="G512">
            <v>3.7156778209067198E-6</v>
          </cell>
          <cell r="H512">
            <v>7.8870287776396502E-6</v>
          </cell>
          <cell r="I512">
            <v>2.19117166707295E-5</v>
          </cell>
        </row>
        <row r="513">
          <cell r="A513" t="str">
            <v>D-SNGA</v>
          </cell>
          <cell r="B513" t="str">
            <v>VAR_cap</v>
          </cell>
          <cell r="C513" t="str">
            <v>-</v>
          </cell>
          <cell r="D513">
            <v>2.2350905256067333</v>
          </cell>
          <cell r="E513">
            <v>2.2350923787844432</v>
          </cell>
          <cell r="F513">
            <v>2.2350950501342548</v>
          </cell>
          <cell r="G513">
            <v>2.2350987658120758</v>
          </cell>
          <cell r="H513">
            <v>2.2351161673808693</v>
          </cell>
          <cell r="I513">
            <v>1.12097637996126</v>
          </cell>
        </row>
        <row r="514">
          <cell r="A514" t="str">
            <v>D-IPLT</v>
          </cell>
          <cell r="B514" t="str">
            <v>VAR_fout</v>
          </cell>
          <cell r="C514" t="str">
            <v>IPLT</v>
          </cell>
          <cell r="D514">
            <v>0.62580210231920408</v>
          </cell>
          <cell r="E514">
            <v>0.73757745001937336</v>
          </cell>
          <cell r="F514">
            <v>0.73633522482937075</v>
          </cell>
          <cell r="G514">
            <v>0.73426439223568929</v>
          </cell>
          <cell r="H514">
            <v>0.74126498691768372</v>
          </cell>
          <cell r="I514">
            <v>0.73803848953792095</v>
          </cell>
        </row>
        <row r="515">
          <cell r="A515" t="str">
            <v>D-IPLT</v>
          </cell>
          <cell r="B515" t="str">
            <v>VAR_fin</v>
          </cell>
          <cell r="C515" t="str">
            <v>PLT</v>
          </cell>
          <cell r="D515">
            <v>0.62580210231920408</v>
          </cell>
          <cell r="E515">
            <v>0.73757745001937336</v>
          </cell>
          <cell r="F515">
            <v>0.73633522482937075</v>
          </cell>
          <cell r="G515">
            <v>0.73426439223568929</v>
          </cell>
          <cell r="H515">
            <v>0.74126498691768372</v>
          </cell>
          <cell r="I515">
            <v>0.73803848953792095</v>
          </cell>
        </row>
        <row r="516">
          <cell r="A516" t="str">
            <v>ITOT-SWHWODBR</v>
          </cell>
          <cell r="B516" t="str">
            <v>VAR_fout</v>
          </cell>
          <cell r="C516" t="str">
            <v>ITOT-SWH</v>
          </cell>
          <cell r="D516">
            <v>5.3111364704420101</v>
          </cell>
          <cell r="E516">
            <v>6.2669431844067498</v>
          </cell>
          <cell r="F516">
            <v>5.7760688042066208</v>
          </cell>
          <cell r="G516">
            <v>5.2280991136798249</v>
          </cell>
          <cell r="H516">
            <v>6.7222757561876518</v>
          </cell>
          <cell r="I516">
            <v>4.1216407845461251</v>
          </cell>
        </row>
        <row r="517">
          <cell r="A517" t="str">
            <v>ITOT-SWHWODBR</v>
          </cell>
          <cell r="B517" t="str">
            <v>VAR_fin</v>
          </cell>
          <cell r="C517" t="str">
            <v>IWOD</v>
          </cell>
          <cell r="D517">
            <v>9.0019262210881443</v>
          </cell>
          <cell r="E517">
            <v>10.609948957799251</v>
          </cell>
          <cell r="F517">
            <v>9.7623698099266871</v>
          </cell>
          <cell r="G517">
            <v>8.8114030005839794</v>
          </cell>
          <cell r="H517">
            <v>11.266383948917843</v>
          </cell>
          <cell r="I517">
            <v>6.8694013075768723</v>
          </cell>
        </row>
        <row r="518">
          <cell r="A518" t="str">
            <v>ITOT-SWHWODBR</v>
          </cell>
          <cell r="B518" t="str">
            <v>VAR_fin</v>
          </cell>
          <cell r="C518" t="str">
            <v>ITOTWODBRC</v>
          </cell>
          <cell r="D518">
            <v>5.3111364704420101</v>
          </cell>
          <cell r="E518">
            <v>6.2669431844067498</v>
          </cell>
          <cell r="F518">
            <v>5.7760688042066208</v>
          </cell>
          <cell r="G518">
            <v>5.2280991136798249</v>
          </cell>
          <cell r="H518">
            <v>6.7222757561876518</v>
          </cell>
          <cell r="I518">
            <v>4.1216407845461251</v>
          </cell>
        </row>
        <row r="519">
          <cell r="A519" t="str">
            <v>ITOT-SWHWODBR</v>
          </cell>
          <cell r="B519" t="str">
            <v>VAR_ncap</v>
          </cell>
          <cell r="C519" t="str">
            <v>-</v>
          </cell>
          <cell r="E519">
            <v>5.5414913580491998E-2</v>
          </cell>
          <cell r="F519">
            <v>1.8329076158942801E-4</v>
          </cell>
          <cell r="G519">
            <v>1.3288458473158701E-4</v>
          </cell>
          <cell r="H519">
            <v>0.137768103199671</v>
          </cell>
          <cell r="I519">
            <v>4.8358074685062598E-2</v>
          </cell>
        </row>
        <row r="520">
          <cell r="A520" t="str">
            <v>ITOT-SWHWODBR</v>
          </cell>
          <cell r="B520" t="str">
            <v>VAR_cap</v>
          </cell>
          <cell r="C520" t="str">
            <v>-</v>
          </cell>
          <cell r="D520">
            <v>0.28883369534761499</v>
          </cell>
          <cell r="E520">
            <v>0.34423472461910692</v>
          </cell>
          <cell r="F520">
            <v>0.34405799126822373</v>
          </cell>
          <cell r="G520">
            <v>0.34236496427938951</v>
          </cell>
          <cell r="H520">
            <v>0.4143361003116387</v>
          </cell>
          <cell r="I520">
            <v>0.26470684784481963</v>
          </cell>
        </row>
        <row r="521">
          <cell r="A521" t="str">
            <v>D-ITOT_KEV_WOD_ELC_CHP</v>
          </cell>
          <cell r="B521" t="str">
            <v>VAR_fout</v>
          </cell>
          <cell r="C521" t="str">
            <v>ITOT_ELC</v>
          </cell>
          <cell r="D521">
            <v>3.521079912592341E-3</v>
          </cell>
          <cell r="E521">
            <v>1.679759051041143E-3</v>
          </cell>
          <cell r="F521">
            <v>2.9949184067488612E-3</v>
          </cell>
          <cell r="G521">
            <v>2.5211436540076718E-3</v>
          </cell>
          <cell r="H521">
            <v>2.905568707700104</v>
          </cell>
          <cell r="I521">
            <v>3.2433632889549928</v>
          </cell>
        </row>
        <row r="522">
          <cell r="A522" t="str">
            <v>D-ITOT_KEV_WOD_ELC_CHP</v>
          </cell>
          <cell r="B522" t="str">
            <v>VAR_fout</v>
          </cell>
          <cell r="C522" t="str">
            <v>ELC5</v>
          </cell>
          <cell r="D522">
            <v>0.16900916368480154</v>
          </cell>
          <cell r="E522">
            <v>0.51994767928931096</v>
          </cell>
          <cell r="F522">
            <v>1.1362110332884359</v>
          </cell>
          <cell r="G522">
            <v>2.1972471407366969</v>
          </cell>
          <cell r="H522">
            <v>0.47633584798430123</v>
          </cell>
          <cell r="I522">
            <v>0.61359771961648379</v>
          </cell>
        </row>
        <row r="523">
          <cell r="A523" t="str">
            <v>D-ITOT_KEV_WOD_ELC_CHP</v>
          </cell>
          <cell r="B523" t="str">
            <v>VAR_fin</v>
          </cell>
          <cell r="C523" t="str">
            <v>ITOT_KEV_WOD_ELC_CHP</v>
          </cell>
          <cell r="D523">
            <v>0.17253024359739391</v>
          </cell>
          <cell r="E523">
            <v>0.52162743834035197</v>
          </cell>
          <cell r="F523">
            <v>1.1391918507745915</v>
          </cell>
          <cell r="G523">
            <v>2.1997515441719355</v>
          </cell>
          <cell r="H523">
            <v>3.3819045556844056</v>
          </cell>
          <cell r="I523">
            <v>3.8569610085714756</v>
          </cell>
        </row>
        <row r="524">
          <cell r="A524" t="str">
            <v>RHEM-SHSTG-SOL</v>
          </cell>
          <cell r="B524" t="str">
            <v>VAR_fout</v>
          </cell>
          <cell r="C524" t="str">
            <v>RHEM-SHASOL</v>
          </cell>
          <cell r="D524">
            <v>3.5756987720373571E-5</v>
          </cell>
          <cell r="E524">
            <v>2.7769384284113751E-5</v>
          </cell>
          <cell r="F524">
            <v>4.0633801909506504E-3</v>
          </cell>
          <cell r="G524">
            <v>6.6643356719617072E-3</v>
          </cell>
          <cell r="H524">
            <v>3.4441724881090091E-3</v>
          </cell>
          <cell r="I524">
            <v>4.8166430291754917E-3</v>
          </cell>
        </row>
        <row r="525">
          <cell r="A525" t="str">
            <v>RHEM-SHSTG-SOL</v>
          </cell>
          <cell r="B525" t="str">
            <v>VAR_fin</v>
          </cell>
          <cell r="C525" t="str">
            <v>RHEM-SHASOL</v>
          </cell>
          <cell r="D525">
            <v>8.0740346444382574E-6</v>
          </cell>
          <cell r="E525">
            <v>2.1182741666283694E-5</v>
          </cell>
          <cell r="F525">
            <v>4.0541463956282756E-3</v>
          </cell>
          <cell r="G525">
            <v>6.6600973357180829E-3</v>
          </cell>
          <cell r="H525">
            <v>3.4388634435315699E-3</v>
          </cell>
          <cell r="I525">
            <v>4.8150614398268987E-3</v>
          </cell>
        </row>
        <row r="526">
          <cell r="A526" t="str">
            <v>RHEM-SHSTG-SOL</v>
          </cell>
          <cell r="B526" t="str">
            <v>VAR_ncap</v>
          </cell>
          <cell r="C526" t="str">
            <v>-</v>
          </cell>
          <cell r="D526">
            <v>1.6091922163457499E-2</v>
          </cell>
          <cell r="E526">
            <v>6.8097544971513306E-5</v>
          </cell>
          <cell r="F526">
            <v>2.37816580562373E-6</v>
          </cell>
          <cell r="G526">
            <v>1.2233917956271701E-6</v>
          </cell>
          <cell r="H526">
            <v>4.9267970669683396E-4</v>
          </cell>
          <cell r="I526">
            <v>5.6776518903484401E-4</v>
          </cell>
        </row>
        <row r="527">
          <cell r="A527" t="str">
            <v>RHEM-SHSTG-SOL</v>
          </cell>
          <cell r="B527" t="str">
            <v>VAR_cap</v>
          </cell>
          <cell r="C527" t="str">
            <v>-</v>
          </cell>
          <cell r="D527">
            <v>1.6091922163457499E-2</v>
          </cell>
          <cell r="E527">
            <v>1.6160019708429001E-2</v>
          </cell>
          <cell r="F527">
            <v>1.61623978742346E-2</v>
          </cell>
          <cell r="G527">
            <v>1.6163621266030301E-2</v>
          </cell>
          <cell r="H527">
            <v>1.01818362475477E-3</v>
          </cell>
          <cell r="I527">
            <v>1.1470731019205501E-3</v>
          </cell>
        </row>
        <row r="528">
          <cell r="A528" t="str">
            <v>ITOT-SWHCONBR10</v>
          </cell>
          <cell r="B528" t="str">
            <v>VAR_fout</v>
          </cell>
          <cell r="C528" t="str">
            <v>ITOT-ELS</v>
          </cell>
          <cell r="E528">
            <v>3.9441257149257052E-4</v>
          </cell>
          <cell r="F528">
            <v>4.1363430360597122E-4</v>
          </cell>
          <cell r="G528">
            <v>0.4871691413216907</v>
          </cell>
          <cell r="H528">
            <v>0.33408548161668061</v>
          </cell>
          <cell r="I528">
            <v>5.0597512242497665E-2</v>
          </cell>
        </row>
        <row r="529">
          <cell r="A529" t="str">
            <v>ITOT-SWHCONBR10</v>
          </cell>
          <cell r="B529" t="str">
            <v>VAR_fout</v>
          </cell>
          <cell r="C529" t="str">
            <v>ITOT-SWHC</v>
          </cell>
          <cell r="E529">
            <v>2.4288337088010014E-3</v>
          </cell>
          <cell r="F529">
            <v>2.5472031378531643E-3</v>
          </cell>
          <cell r="G529">
            <v>3.0000383300461055</v>
          </cell>
          <cell r="H529">
            <v>2.0573332039110648</v>
          </cell>
          <cell r="I529">
            <v>0.31158475210611952</v>
          </cell>
        </row>
        <row r="530">
          <cell r="A530" t="str">
            <v>ITOT-SWHCONBR10</v>
          </cell>
          <cell r="B530" t="str">
            <v>VAR_fin</v>
          </cell>
          <cell r="C530" t="str">
            <v>CON</v>
          </cell>
          <cell r="E530">
            <v>2.8232462802935706E-3</v>
          </cell>
          <cell r="F530">
            <v>2.9608374414591353E-3</v>
          </cell>
          <cell r="G530">
            <v>3.4872074713677956</v>
          </cell>
          <cell r="H530">
            <v>2.3914186855277451</v>
          </cell>
          <cell r="I530">
            <v>0.36218226434861728</v>
          </cell>
        </row>
        <row r="531">
          <cell r="A531" t="str">
            <v>ITOT-SWHCONBR10</v>
          </cell>
          <cell r="B531" t="str">
            <v>VAR_ncap</v>
          </cell>
          <cell r="C531" t="str">
            <v>-</v>
          </cell>
          <cell r="E531">
            <v>1.4918773703027601E-4</v>
          </cell>
          <cell r="F531">
            <v>8.9083681833733294E-6</v>
          </cell>
          <cell r="G531">
            <v>0.18949503456233199</v>
          </cell>
          <cell r="H531">
            <v>6.4203227933135097E-4</v>
          </cell>
          <cell r="I531">
            <v>1.9233724460779901E-2</v>
          </cell>
        </row>
        <row r="532">
          <cell r="A532" t="str">
            <v>ITOT-SWHCONBR10</v>
          </cell>
          <cell r="B532" t="str">
            <v>VAR_cap</v>
          </cell>
          <cell r="C532" t="str">
            <v>-</v>
          </cell>
          <cell r="E532">
            <v>1.4918773703027601E-4</v>
          </cell>
          <cell r="F532">
            <v>1.5809610521365001E-4</v>
          </cell>
          <cell r="G532">
            <v>0.18965313066754599</v>
          </cell>
          <cell r="H532">
            <v>0.130069071972233</v>
          </cell>
          <cell r="I532">
            <v>1.97009155740972E-2</v>
          </cell>
        </row>
        <row r="533">
          <cell r="A533" t="str">
            <v>SCOM-SHSTG</v>
          </cell>
          <cell r="B533" t="str">
            <v>VAR_fout</v>
          </cell>
          <cell r="C533" t="str">
            <v>AUX_SCOM-SHSTG_OUT</v>
          </cell>
          <cell r="D533">
            <v>2.6024254338404423E-5</v>
          </cell>
          <cell r="E533">
            <v>2.7150494426444946E-3</v>
          </cell>
          <cell r="F533">
            <v>1.4171460109185991E-4</v>
          </cell>
          <cell r="G533">
            <v>5.5614321966742004E-5</v>
          </cell>
          <cell r="H533">
            <v>3.4561494358768607E-4</v>
          </cell>
          <cell r="I533">
            <v>5.7578497958724146E-3</v>
          </cell>
        </row>
        <row r="534">
          <cell r="A534" t="str">
            <v>SCOM-SHSTG</v>
          </cell>
          <cell r="B534" t="str">
            <v>VAR_fout</v>
          </cell>
          <cell r="C534" t="str">
            <v>SCOM-SHD</v>
          </cell>
          <cell r="D534">
            <v>2.602425433840447E-5</v>
          </cell>
          <cell r="E534">
            <v>2.7172686401455105E-3</v>
          </cell>
          <cell r="F534">
            <v>1.4189559036528507E-4</v>
          </cell>
          <cell r="G534">
            <v>5.5614321966741916E-5</v>
          </cell>
          <cell r="H534">
            <v>3.456149435876858E-4</v>
          </cell>
          <cell r="I534">
            <v>5.7578497958724146E-3</v>
          </cell>
        </row>
        <row r="535">
          <cell r="A535" t="str">
            <v>SCOM-SHSTG</v>
          </cell>
          <cell r="B535" t="str">
            <v>VAR_fin</v>
          </cell>
          <cell r="C535" t="str">
            <v>AUX_SCOM-SHSTG_IN</v>
          </cell>
          <cell r="D535">
            <v>3.4549118320268802E-5</v>
          </cell>
          <cell r="E535">
            <v>3.3134542647464097E-3</v>
          </cell>
          <cell r="F535">
            <v>1.7411119210229085E-4</v>
          </cell>
          <cell r="G535">
            <v>6.666401547096675E-5</v>
          </cell>
          <cell r="H535">
            <v>3.7697813702258179E-4</v>
          </cell>
          <cell r="I535">
            <v>5.820068749699675E-3</v>
          </cell>
        </row>
        <row r="536">
          <cell r="A536" t="str">
            <v>SCOM-SHSTG</v>
          </cell>
          <cell r="B536" t="str">
            <v>VAR_fin</v>
          </cell>
          <cell r="C536" t="str">
            <v>SCOM-SHD</v>
          </cell>
          <cell r="D536">
            <v>3.4549118320268802E-5</v>
          </cell>
          <cell r="E536">
            <v>3.3134542647464097E-3</v>
          </cell>
          <cell r="F536">
            <v>1.7411119210229085E-4</v>
          </cell>
          <cell r="G536">
            <v>6.666401547096675E-5</v>
          </cell>
          <cell r="H536">
            <v>3.7697813702258179E-4</v>
          </cell>
          <cell r="I536">
            <v>5.820068749699675E-3</v>
          </cell>
        </row>
        <row r="537">
          <cell r="A537" t="str">
            <v>SCOM-SHSTG</v>
          </cell>
          <cell r="B537" t="str">
            <v>VAR_ncap</v>
          </cell>
          <cell r="C537" t="str">
            <v>-</v>
          </cell>
          <cell r="D537">
            <v>6.3421637338434596E-3</v>
          </cell>
          <cell r="E537">
            <v>8.4448665390206694E-5</v>
          </cell>
          <cell r="F537">
            <v>5.5987028321618601E-5</v>
          </cell>
          <cell r="G537">
            <v>3.0068779973919399E-5</v>
          </cell>
          <cell r="H537">
            <v>3.7979627443256001E-3</v>
          </cell>
          <cell r="I537">
            <v>4.1815071077703101E-3</v>
          </cell>
        </row>
        <row r="538">
          <cell r="A538" t="str">
            <v>SCOM-SHSTG</v>
          </cell>
          <cell r="B538" t="str">
            <v>VAR_cap</v>
          </cell>
          <cell r="C538" t="str">
            <v>-</v>
          </cell>
          <cell r="D538">
            <v>6.3421637338434596E-3</v>
          </cell>
          <cell r="E538">
            <v>6.4157027977250133E-3</v>
          </cell>
          <cell r="F538">
            <v>6.453970661405308E-3</v>
          </cell>
          <cell r="G538">
            <v>6.4598836555064005E-3</v>
          </cell>
          <cell r="H538">
            <v>7.5038592898809811E-3</v>
          </cell>
          <cell r="I538">
            <v>9.1017252763545657E-3</v>
          </cell>
        </row>
        <row r="539">
          <cell r="A539" t="str">
            <v>D-ITOT_KEV_HFC_ELC_CHP</v>
          </cell>
          <cell r="B539" t="str">
            <v>VAR_fout</v>
          </cell>
          <cell r="C539" t="str">
            <v>ITOT_ELC</v>
          </cell>
          <cell r="H539">
            <v>3.1929629070324046E-3</v>
          </cell>
          <cell r="I539">
            <v>4.099190219611871</v>
          </cell>
        </row>
        <row r="540">
          <cell r="A540" t="str">
            <v>D-ITOT_KEV_HFC_ELC_CHP</v>
          </cell>
          <cell r="B540" t="str">
            <v>VAR_fout</v>
          </cell>
          <cell r="C540" t="str">
            <v>ELC5</v>
          </cell>
          <cell r="H540">
            <v>2.9743075232735181E-3</v>
          </cell>
          <cell r="I540">
            <v>0.85386251536598212</v>
          </cell>
        </row>
        <row r="541">
          <cell r="A541" t="str">
            <v>D-ITOT_KEV_HFC_ELC_CHP</v>
          </cell>
          <cell r="B541" t="str">
            <v>VAR_fin</v>
          </cell>
          <cell r="C541" t="str">
            <v>ITOT_KEV_HFC_ELC_CHP</v>
          </cell>
          <cell r="H541">
            <v>6.1553830886719764E-3</v>
          </cell>
          <cell r="I541">
            <v>4.9530258686970505</v>
          </cell>
        </row>
        <row r="542">
          <cell r="A542" t="str">
            <v>D-RNGA</v>
          </cell>
          <cell r="B542" t="str">
            <v>VAR_fout</v>
          </cell>
          <cell r="C542" t="str">
            <v>CO2</v>
          </cell>
          <cell r="D542">
            <v>2673.8047481358999</v>
          </cell>
          <cell r="E542">
            <v>2695.2912949486899</v>
          </cell>
          <cell r="F542">
            <v>2526.55442811378</v>
          </cell>
          <cell r="G542">
            <v>1645.07720598778</v>
          </cell>
          <cell r="H542">
            <v>982.08263303164495</v>
          </cell>
          <cell r="I542">
            <v>722.88493779895396</v>
          </cell>
        </row>
        <row r="543">
          <cell r="A543" t="str">
            <v>D-RNGA</v>
          </cell>
          <cell r="B543" t="str">
            <v>VAR_fout</v>
          </cell>
          <cell r="C543" t="str">
            <v>RNGA</v>
          </cell>
          <cell r="D543">
            <v>47.561292241215682</v>
          </cell>
          <cell r="E543">
            <v>48.283299033409044</v>
          </cell>
          <cell r="F543">
            <v>45.197388200477803</v>
          </cell>
          <cell r="G543">
            <v>33.207158889942114</v>
          </cell>
          <cell r="H543">
            <v>19.117562883894369</v>
          </cell>
          <cell r="I543">
            <v>12.779066260030319</v>
          </cell>
        </row>
        <row r="544">
          <cell r="A544" t="str">
            <v>D-RNGA</v>
          </cell>
          <cell r="B544" t="str">
            <v>VAR_fout</v>
          </cell>
          <cell r="C544" t="str">
            <v>RSH2</v>
          </cell>
          <cell r="G544">
            <v>1.1819942634744686E-3</v>
          </cell>
          <cell r="H544">
            <v>3.2847717042377763E-3</v>
          </cell>
          <cell r="I544">
            <v>3.6067808363436205E-2</v>
          </cell>
        </row>
        <row r="545">
          <cell r="A545" t="str">
            <v>D-RNGA</v>
          </cell>
          <cell r="B545" t="str">
            <v>VAR_fin</v>
          </cell>
          <cell r="C545" t="str">
            <v>NGA</v>
          </cell>
          <cell r="D545">
            <v>47.407885605246499</v>
          </cell>
          <cell r="E545">
            <v>47.788852747317279</v>
          </cell>
          <cell r="F545">
            <v>44.797064328258479</v>
          </cell>
          <cell r="G545">
            <v>29.168035567159247</v>
          </cell>
          <cell r="H545">
            <v>17.412812642405061</v>
          </cell>
          <cell r="I545">
            <v>12.817108826222579</v>
          </cell>
        </row>
        <row r="546">
          <cell r="A546" t="str">
            <v>D-RNGA</v>
          </cell>
          <cell r="B546" t="str">
            <v>VAR_fin</v>
          </cell>
          <cell r="C546" t="str">
            <v>BNGA</v>
          </cell>
          <cell r="D546">
            <v>0.30534687179654146</v>
          </cell>
          <cell r="E546">
            <v>0.64869305896020502</v>
          </cell>
          <cell r="F546">
            <v>0.54471233389388507</v>
          </cell>
          <cell r="G546">
            <v>4.1454830174713502</v>
          </cell>
          <cell r="H546">
            <v>1.7668184694234472</v>
          </cell>
          <cell r="I546">
            <v>3.6066221727319961E-3</v>
          </cell>
        </row>
        <row r="547">
          <cell r="A547" t="str">
            <v>D-RNGA</v>
          </cell>
          <cell r="B547" t="str">
            <v>VAR_fin</v>
          </cell>
          <cell r="C547" t="str">
            <v>H2</v>
          </cell>
          <cell r="G547">
            <v>1.1798564406571115E-3</v>
          </cell>
          <cell r="H547">
            <v>3.2804385498114213E-3</v>
          </cell>
          <cell r="I547">
            <v>3.6062343818202336E-2</v>
          </cell>
        </row>
        <row r="548">
          <cell r="A548" t="str">
            <v>D-RNGA</v>
          </cell>
          <cell r="B548" t="str">
            <v>VAR_ncap</v>
          </cell>
          <cell r="C548" t="str">
            <v>-</v>
          </cell>
          <cell r="D548">
            <v>6.5657137902178797E-6</v>
          </cell>
          <cell r="E548">
            <v>1.0501006443156601E-6</v>
          </cell>
          <cell r="F548">
            <v>1.4114145596767299E-6</v>
          </cell>
          <cell r="G548">
            <v>9.997048790651101E-7</v>
          </cell>
          <cell r="H548">
            <v>2.1403327039551798E-6</v>
          </cell>
          <cell r="I548">
            <v>4.1376627706933096E-6</v>
          </cell>
        </row>
        <row r="549">
          <cell r="A549" t="str">
            <v>D-RNGA</v>
          </cell>
          <cell r="B549" t="str">
            <v>VAR_cap</v>
          </cell>
          <cell r="C549" t="str">
            <v>-</v>
          </cell>
          <cell r="D549">
            <v>3.0972465731097105</v>
          </cell>
          <cell r="E549">
            <v>3.0972476232103547</v>
          </cell>
          <cell r="F549">
            <v>3.0972490346249142</v>
          </cell>
          <cell r="G549">
            <v>3.0972500343297935</v>
          </cell>
          <cell r="H549">
            <v>3.0972537827876838</v>
          </cell>
          <cell r="I549">
            <v>1.5533001610907544</v>
          </cell>
        </row>
        <row r="550">
          <cell r="A550" t="str">
            <v>RHNS-SHLTHCHPNGA</v>
          </cell>
          <cell r="B550" t="str">
            <v>VAR_fout</v>
          </cell>
          <cell r="C550" t="str">
            <v>RHNS-SHLTHC-NGA</v>
          </cell>
          <cell r="E550">
            <v>9.1725449239548685E-4</v>
          </cell>
        </row>
        <row r="551">
          <cell r="A551" t="str">
            <v>RHNS-SHLTHCHPNGA</v>
          </cell>
          <cell r="B551" t="str">
            <v>VAR_fin</v>
          </cell>
          <cell r="C551" t="str">
            <v>RHNSLTHCHPC</v>
          </cell>
          <cell r="E551">
            <v>9.1725449239548685E-4</v>
          </cell>
        </row>
        <row r="552">
          <cell r="A552" t="str">
            <v>RHNS-SHLTHCHPNGA</v>
          </cell>
          <cell r="B552" t="str">
            <v>VAR_fin</v>
          </cell>
          <cell r="C552" t="str">
            <v>RHNS_LTH_CHPNGA_ON</v>
          </cell>
          <cell r="E552">
            <v>9.2651968928837019E-4</v>
          </cell>
        </row>
        <row r="553">
          <cell r="A553" t="str">
            <v>RHNS-SHLTHCHPNGA</v>
          </cell>
          <cell r="B553" t="str">
            <v>VAR_ncap</v>
          </cell>
          <cell r="C553" t="str">
            <v>-</v>
          </cell>
          <cell r="E553">
            <v>4.8035624669651601E-4</v>
          </cell>
          <cell r="F553">
            <v>3.8703370829752302E-4</v>
          </cell>
          <cell r="G553">
            <v>1.5021064765094199E-5</v>
          </cell>
          <cell r="H553">
            <v>1.4574613238466699E-3</v>
          </cell>
          <cell r="I553">
            <v>1.10014049103204E-3</v>
          </cell>
        </row>
        <row r="554">
          <cell r="A554" t="str">
            <v>RHNS-SHLTHCHPNGA</v>
          </cell>
          <cell r="B554" t="str">
            <v>VAR_cap</v>
          </cell>
          <cell r="C554" t="str">
            <v>-</v>
          </cell>
          <cell r="E554">
            <v>4.8035624669651601E-4</v>
          </cell>
          <cell r="F554">
            <v>4.9386794845069802E-4</v>
          </cell>
          <cell r="G554">
            <v>2.4439370000930083E-5</v>
          </cell>
          <cell r="H554">
            <v>1.996498241800078E-3</v>
          </cell>
          <cell r="I554">
            <v>1.6168929399782259E-3</v>
          </cell>
        </row>
        <row r="555">
          <cell r="A555" t="str">
            <v>D-SCOM_KEV_BIO_ELC_CHP</v>
          </cell>
          <cell r="B555" t="str">
            <v>VAR_fout</v>
          </cell>
          <cell r="C555" t="str">
            <v>ELC5</v>
          </cell>
          <cell r="D555">
            <v>0.95705038816858168</v>
          </cell>
          <cell r="E555">
            <v>1.1050218222956074</v>
          </cell>
          <cell r="F555">
            <v>1.1048012499758955</v>
          </cell>
          <cell r="G555">
            <v>1.1030093021639131</v>
          </cell>
          <cell r="H555">
            <v>0.92518329925261467</v>
          </cell>
          <cell r="I555">
            <v>0.92561058237016425</v>
          </cell>
        </row>
        <row r="556">
          <cell r="A556" t="str">
            <v>D-SCOM_KEV_BIO_ELC_CHP</v>
          </cell>
          <cell r="B556" t="str">
            <v>VAR_fout</v>
          </cell>
          <cell r="C556" t="str">
            <v>SCOM_ELC</v>
          </cell>
          <cell r="D556">
            <v>2.3265518899581077E-3</v>
          </cell>
          <cell r="E556">
            <v>9.5119165094734984E-4</v>
          </cell>
          <cell r="F556">
            <v>1.1744467519414579E-3</v>
          </cell>
          <cell r="G556">
            <v>2.9748684995701915E-3</v>
          </cell>
          <cell r="H556">
            <v>0.90674716366364971</v>
          </cell>
          <cell r="I556">
            <v>0.90636867442639257</v>
          </cell>
        </row>
        <row r="557">
          <cell r="A557" t="str">
            <v>D-SCOM_KEV_BIO_ELC_CHP</v>
          </cell>
          <cell r="B557" t="str">
            <v>VAR_fin</v>
          </cell>
          <cell r="C557" t="str">
            <v>SCOM_KEV_BIO_ELC_CHP</v>
          </cell>
          <cell r="D557">
            <v>0.95937694005854024</v>
          </cell>
          <cell r="E557">
            <v>1.1059730139465545</v>
          </cell>
          <cell r="F557">
            <v>1.1059707892769557</v>
          </cell>
          <cell r="G557">
            <v>1.1059691131813003</v>
          </cell>
          <cell r="H557">
            <v>1.8318693706389726</v>
          </cell>
          <cell r="I557">
            <v>1.8319091411887869</v>
          </cell>
        </row>
        <row r="558">
          <cell r="A558" t="str">
            <v>RHES-SHLTHCHPWOD</v>
          </cell>
          <cell r="B558" t="str">
            <v>VAR_ncap</v>
          </cell>
          <cell r="C558" t="str">
            <v>-</v>
          </cell>
          <cell r="G558">
            <v>2.7027820734517899E-4</v>
          </cell>
          <cell r="H558">
            <v>7.0740439813383104E-4</v>
          </cell>
          <cell r="I558">
            <v>2.9094831279171302E-4</v>
          </cell>
        </row>
        <row r="559">
          <cell r="A559" t="str">
            <v>RHES-SHLTHCHPWOD</v>
          </cell>
          <cell r="B559" t="str">
            <v>VAR_cap</v>
          </cell>
          <cell r="C559" t="str">
            <v>-</v>
          </cell>
          <cell r="G559">
            <v>2.7027820734517899E-4</v>
          </cell>
          <cell r="H559">
            <v>1.2454161237100297E-3</v>
          </cell>
          <cell r="I559">
            <v>5.3402291363118296E-4</v>
          </cell>
        </row>
        <row r="560">
          <cell r="A560" t="str">
            <v>RHES-SHSTG-NGAHP</v>
          </cell>
          <cell r="B560" t="str">
            <v>VAR_fout</v>
          </cell>
          <cell r="C560" t="str">
            <v>RHES-SHANGAH</v>
          </cell>
          <cell r="F560">
            <v>3.0523643878669678E-2</v>
          </cell>
          <cell r="G560">
            <v>4.2473238242512409E-2</v>
          </cell>
          <cell r="H560">
            <v>3.609245921489708E-2</v>
          </cell>
          <cell r="I560">
            <v>3.1280405713682534E-2</v>
          </cell>
        </row>
        <row r="561">
          <cell r="A561" t="str">
            <v>RHES-SHSTG-NGAHP</v>
          </cell>
          <cell r="B561" t="str">
            <v>VAR_fin</v>
          </cell>
          <cell r="C561" t="str">
            <v>RHES-SHANGAH</v>
          </cell>
          <cell r="F561">
            <v>3.0590395626400417E-2</v>
          </cell>
          <cell r="G561">
            <v>4.2540886696926627E-2</v>
          </cell>
          <cell r="H561">
            <v>3.6119242245520045E-2</v>
          </cell>
          <cell r="I561">
            <v>3.1316241959574914E-2</v>
          </cell>
        </row>
        <row r="562">
          <cell r="A562" t="str">
            <v>RHES-SHSTG-NGAHP</v>
          </cell>
          <cell r="B562" t="str">
            <v>VAR_ncap</v>
          </cell>
          <cell r="C562" t="str">
            <v>-</v>
          </cell>
          <cell r="D562">
            <v>1.1718809519340201E-4</v>
          </cell>
          <cell r="E562">
            <v>4.3518435321924401E-5</v>
          </cell>
          <cell r="F562">
            <v>2.1803217617387901E-2</v>
          </cell>
          <cell r="G562">
            <v>2.5723743505164298E-3</v>
          </cell>
          <cell r="H562">
            <v>1.8223724875550601E-2</v>
          </cell>
          <cell r="I562">
            <v>5.4583964629517801E-3</v>
          </cell>
        </row>
        <row r="563">
          <cell r="A563" t="str">
            <v>RHES-SHSTG-NGAHP</v>
          </cell>
          <cell r="B563" t="str">
            <v>VAR_cap</v>
          </cell>
          <cell r="C563" t="str">
            <v>-</v>
          </cell>
          <cell r="D563">
            <v>1.1718809519340201E-4</v>
          </cell>
          <cell r="E563">
            <v>2.8738155913399861E-6</v>
          </cell>
          <cell r="F563">
            <v>2.1780894744942145E-2</v>
          </cell>
          <cell r="G563">
            <v>2.4250446676273893E-2</v>
          </cell>
          <cell r="H563">
            <v>2.4066424631375968E-2</v>
          </cell>
          <cell r="I563">
            <v>1.8714997830263789E-2</v>
          </cell>
        </row>
        <row r="564">
          <cell r="A564" t="str">
            <v>D-RHNS_SOLELC</v>
          </cell>
          <cell r="B564" t="str">
            <v>VAR_fout</v>
          </cell>
          <cell r="C564" t="str">
            <v>RHNS_ELC</v>
          </cell>
          <cell r="E564">
            <v>1.946272368971596E-5</v>
          </cell>
          <cell r="F564">
            <v>9.5056038527913059E-3</v>
          </cell>
          <cell r="G564">
            <v>1.0507813444741824E-2</v>
          </cell>
          <cell r="H564">
            <v>1.1805063736992623E-2</v>
          </cell>
          <cell r="I564">
            <v>1.7703962981868132E-2</v>
          </cell>
        </row>
        <row r="565">
          <cell r="A565" t="str">
            <v>D-RHNS_SOLELC</v>
          </cell>
          <cell r="B565" t="str">
            <v>VAR_fout</v>
          </cell>
          <cell r="C565" t="str">
            <v>ELC5</v>
          </cell>
          <cell r="E565">
            <v>1.9433994490146078E-5</v>
          </cell>
          <cell r="F565">
            <v>9.6225134716272781E-3</v>
          </cell>
          <cell r="G565">
            <v>1.069175736251354E-2</v>
          </cell>
          <cell r="H565">
            <v>1.2343539948986649E-2</v>
          </cell>
          <cell r="I565">
            <v>1.8032448181368843E-2</v>
          </cell>
        </row>
        <row r="566">
          <cell r="A566" t="str">
            <v>D-RHNS_SOLELC</v>
          </cell>
          <cell r="B566" t="str">
            <v>VAR_fin</v>
          </cell>
          <cell r="C566" t="str">
            <v>RHNS_SOL_ELC</v>
          </cell>
          <cell r="E566">
            <v>3.1366302618720892E-5</v>
          </cell>
          <cell r="F566">
            <v>1.9108700413662225E-2</v>
          </cell>
          <cell r="G566">
            <v>2.1175494130066776E-2</v>
          </cell>
          <cell r="H566">
            <v>2.4114250998616988E-2</v>
          </cell>
          <cell r="I566">
            <v>3.5704428871601072E-2</v>
          </cell>
        </row>
        <row r="567">
          <cell r="A567" t="str">
            <v>D-IHFO</v>
          </cell>
          <cell r="B567" t="str">
            <v>VAR_fout</v>
          </cell>
          <cell r="C567" t="str">
            <v>CO2</v>
          </cell>
          <cell r="D567">
            <v>213.78133963827</v>
          </cell>
          <cell r="E567">
            <v>99.122868260529501</v>
          </cell>
          <cell r="F567">
            <v>1.6655808705970101</v>
          </cell>
          <cell r="G567">
            <v>5.7267566532587699E-4</v>
          </cell>
          <cell r="H567">
            <v>4.7740598343978799E-2</v>
          </cell>
        </row>
        <row r="568">
          <cell r="A568" t="str">
            <v>D-IHFO</v>
          </cell>
          <cell r="B568" t="str">
            <v>VAR_fout</v>
          </cell>
          <cell r="C568" t="str">
            <v>IHFO</v>
          </cell>
          <cell r="D568">
            <v>2.7300122354093239</v>
          </cell>
          <cell r="E568">
            <v>1.2658104005615924</v>
          </cell>
          <cell r="F568">
            <v>2.1269658818152477E-2</v>
          </cell>
          <cell r="G568">
            <v>7.3131339522252191E-6</v>
          </cell>
          <cell r="H568">
            <v>6.0965291837610435E-4</v>
          </cell>
        </row>
        <row r="569">
          <cell r="A569" t="str">
            <v>D-IHFO</v>
          </cell>
          <cell r="B569" t="str">
            <v>VAR_fin</v>
          </cell>
          <cell r="C569" t="str">
            <v>HFO</v>
          </cell>
          <cell r="D569">
            <v>2.7763810342632405</v>
          </cell>
          <cell r="E569">
            <v>1.2873099774094718</v>
          </cell>
          <cell r="F569">
            <v>2.1630920397363834E-2</v>
          </cell>
          <cell r="G569">
            <v>7.4373463029334637E-6</v>
          </cell>
          <cell r="H569">
            <v>6.2000777070102351E-4</v>
          </cell>
        </row>
        <row r="570">
          <cell r="A570" t="str">
            <v>RHEM-SHCONBR</v>
          </cell>
          <cell r="B570" t="str">
            <v>VAR_fout</v>
          </cell>
          <cell r="C570" t="str">
            <v>RHEM-SHCON</v>
          </cell>
          <cell r="F570">
            <v>2.0937088781818932E-3</v>
          </cell>
          <cell r="G570">
            <v>2.3472278686156932E-3</v>
          </cell>
          <cell r="H570">
            <v>3.4973974586492598E-3</v>
          </cell>
          <cell r="I570">
            <v>3.9327106846662758E-3</v>
          </cell>
        </row>
        <row r="571">
          <cell r="A571" t="str">
            <v>RHEM-SHCONBR</v>
          </cell>
          <cell r="B571" t="str">
            <v>VAR_fin</v>
          </cell>
          <cell r="C571" t="str">
            <v>CON</v>
          </cell>
          <cell r="F571">
            <v>2.0937088781818932E-3</v>
          </cell>
          <cell r="G571">
            <v>2.3472278686156932E-3</v>
          </cell>
          <cell r="H571">
            <v>3.4973974586492598E-3</v>
          </cell>
          <cell r="I571">
            <v>3.9327106846662758E-3</v>
          </cell>
        </row>
        <row r="572">
          <cell r="A572" t="str">
            <v>RHEM-SHCONBR</v>
          </cell>
          <cell r="B572" t="str">
            <v>VAR_ncap</v>
          </cell>
          <cell r="C572" t="str">
            <v>-</v>
          </cell>
          <cell r="D572">
            <v>2.4934175908940799E-7</v>
          </cell>
          <cell r="E572">
            <v>4.9096222643361101E-7</v>
          </cell>
          <cell r="F572">
            <v>1.8413490650471599E-4</v>
          </cell>
          <cell r="G572">
            <v>3.10542645311621E-6</v>
          </cell>
          <cell r="H572">
            <v>4.2947153996648101E-6</v>
          </cell>
          <cell r="I572">
            <v>1.43673058825945E-5</v>
          </cell>
        </row>
        <row r="573">
          <cell r="A573" t="str">
            <v>RHEM-SHCONBR</v>
          </cell>
          <cell r="B573" t="str">
            <v>VAR_cap</v>
          </cell>
          <cell r="C573" t="str">
            <v>-</v>
          </cell>
          <cell r="D573">
            <v>2.4934175908940799E-7</v>
          </cell>
          <cell r="E573">
            <v>-5.5562201711905107E-7</v>
          </cell>
          <cell r="F573">
            <v>1.8435158599263319E-4</v>
          </cell>
          <cell r="G573">
            <v>1.8738015666774875E-4</v>
          </cell>
          <cell r="H573">
            <v>2.8227585496420985E-4</v>
          </cell>
          <cell r="I573">
            <v>2.9751096969428235E-4</v>
          </cell>
        </row>
        <row r="574">
          <cell r="A574" t="str">
            <v>RHEM-SHSOLBR</v>
          </cell>
          <cell r="B574" t="str">
            <v>VAR_fout</v>
          </cell>
          <cell r="C574" t="str">
            <v>RHEM-SHASOL</v>
          </cell>
          <cell r="D574">
            <v>0.40802677431217699</v>
          </cell>
          <cell r="E574">
            <v>0.4709004370214509</v>
          </cell>
          <cell r="F574">
            <v>9.8231332486750783E-3</v>
          </cell>
          <cell r="G574">
            <v>1.5876832125573698E-2</v>
          </cell>
          <cell r="H574">
            <v>2.1215627599626447E-2</v>
          </cell>
          <cell r="I574">
            <v>2.0590857809897601E-2</v>
          </cell>
        </row>
        <row r="575">
          <cell r="A575" t="str">
            <v>RHEM-SHSOLBR</v>
          </cell>
          <cell r="B575" t="str">
            <v>VAR_fin</v>
          </cell>
          <cell r="C575" t="str">
            <v>SOL</v>
          </cell>
          <cell r="D575">
            <v>0.40802677431217699</v>
          </cell>
          <cell r="E575">
            <v>0.4709004370214509</v>
          </cell>
          <cell r="F575">
            <v>9.8231332486750783E-3</v>
          </cell>
          <cell r="G575">
            <v>1.5876832125573698E-2</v>
          </cell>
          <cell r="H575">
            <v>2.1215627599626447E-2</v>
          </cell>
          <cell r="I575">
            <v>2.0590857809897601E-2</v>
          </cell>
        </row>
        <row r="576">
          <cell r="A576" t="str">
            <v>RHEM-SHSOLBR</v>
          </cell>
          <cell r="B576" t="str">
            <v>VAR_ncap</v>
          </cell>
          <cell r="C576" t="str">
            <v>-</v>
          </cell>
          <cell r="D576">
            <v>1.5239295466490499E-4</v>
          </cell>
          <cell r="E576">
            <v>9.2607062038108801E-3</v>
          </cell>
          <cell r="F576">
            <v>8.2144639527183504E-6</v>
          </cell>
          <cell r="G576">
            <v>4.0150309756206599E-6</v>
          </cell>
          <cell r="H576">
            <v>4.2679816294152201E-3</v>
          </cell>
          <cell r="I576">
            <v>1.7488071135680001E-3</v>
          </cell>
        </row>
        <row r="577">
          <cell r="A577" t="str">
            <v>RHEM-SHSOLBR</v>
          </cell>
          <cell r="B577" t="str">
            <v>VAR_cap</v>
          </cell>
          <cell r="C577" t="str">
            <v>-</v>
          </cell>
          <cell r="D577">
            <v>5.9407314371703206E-2</v>
          </cell>
          <cell r="E577">
            <v>6.8667099444383345E-2</v>
          </cell>
          <cell r="F577">
            <v>6.8670307139875153E-2</v>
          </cell>
          <cell r="G577">
            <v>6.8671421214738362E-2</v>
          </cell>
          <cell r="H577">
            <v>4.3166523146762441E-3</v>
          </cell>
          <cell r="I577">
            <v>4.8635337366937023E-3</v>
          </cell>
        </row>
        <row r="578">
          <cell r="A578" t="str">
            <v>SCOM-SHH2BR</v>
          </cell>
          <cell r="B578" t="str">
            <v>VAR_ncap</v>
          </cell>
          <cell r="C578" t="str">
            <v>-</v>
          </cell>
          <cell r="G578">
            <v>1.44214573420504E-5</v>
          </cell>
          <cell r="H578">
            <v>0.229819055888526</v>
          </cell>
          <cell r="I578">
            <v>0.65268978301382596</v>
          </cell>
        </row>
        <row r="579">
          <cell r="A579" t="str">
            <v>SCOM-SHH2BR</v>
          </cell>
          <cell r="B579" t="str">
            <v>VAR_cap</v>
          </cell>
          <cell r="C579" t="str">
            <v>-</v>
          </cell>
          <cell r="G579">
            <v>1.44214573420504E-5</v>
          </cell>
          <cell r="H579">
            <v>1.1114085930857467</v>
          </cell>
          <cell r="I579">
            <v>1.1923732284402166</v>
          </cell>
        </row>
        <row r="580">
          <cell r="A580" t="str">
            <v>ITOT-SWHCONBR1</v>
          </cell>
          <cell r="B580" t="str">
            <v>VAR_fout</v>
          </cell>
          <cell r="C580" t="str">
            <v>ITOT-ELS</v>
          </cell>
          <cell r="E580">
            <v>6.6275750225667949E-3</v>
          </cell>
          <cell r="F580">
            <v>6.6272973150771413E-3</v>
          </cell>
          <cell r="G580">
            <v>6.6288561404597183E-3</v>
          </cell>
          <cell r="H580">
            <v>2.1191185845446908E-2</v>
          </cell>
          <cell r="I580">
            <v>2.1191243475307198E-2</v>
          </cell>
        </row>
        <row r="581">
          <cell r="A581" t="str">
            <v>ITOT-SWHCONBR1</v>
          </cell>
          <cell r="B581" t="str">
            <v>VAR_fout</v>
          </cell>
          <cell r="C581" t="str">
            <v>ITOT-SWHC</v>
          </cell>
          <cell r="E581">
            <v>1.7390070361638685</v>
          </cell>
          <cell r="F581">
            <v>1.7389341685951318</v>
          </cell>
          <cell r="G581">
            <v>1.7393431882288919</v>
          </cell>
          <cell r="H581">
            <v>5.5603476632718785</v>
          </cell>
          <cell r="I581">
            <v>5.5603627847502706</v>
          </cell>
        </row>
        <row r="582">
          <cell r="A582" t="str">
            <v>ITOT-SWHCONBR1</v>
          </cell>
          <cell r="B582" t="str">
            <v>VAR_fin</v>
          </cell>
          <cell r="C582" t="str">
            <v>CON</v>
          </cell>
          <cell r="E582">
            <v>1.7456346111864334</v>
          </cell>
          <cell r="F582">
            <v>1.7455614659102086</v>
          </cell>
          <cell r="G582">
            <v>1.7459720443693518</v>
          </cell>
          <cell r="H582">
            <v>5.5815388491173197</v>
          </cell>
          <cell r="I582">
            <v>5.5815540282255869</v>
          </cell>
        </row>
        <row r="583">
          <cell r="A583" t="str">
            <v>ITOT-SWHCONBR1</v>
          </cell>
          <cell r="B583" t="str">
            <v>VAR_ncap</v>
          </cell>
          <cell r="C583" t="str">
            <v>-</v>
          </cell>
          <cell r="E583">
            <v>9.4949179090310601E-2</v>
          </cell>
          <cell r="F583">
            <v>8.5442420081456806E-6</v>
          </cell>
          <cell r="G583">
            <v>1.29704475044113E-5</v>
          </cell>
          <cell r="H583">
            <v>5.5027605094524298E-2</v>
          </cell>
          <cell r="I583">
            <v>0.158516600395741</v>
          </cell>
        </row>
        <row r="584">
          <cell r="A584" t="str">
            <v>ITOT-SWHCONBR1</v>
          </cell>
          <cell r="B584" t="str">
            <v>VAR_cap</v>
          </cell>
          <cell r="C584" t="str">
            <v>-</v>
          </cell>
          <cell r="E584">
            <v>9.4949179090310601E-2</v>
          </cell>
          <cell r="F584">
            <v>9.4957723332318805E-2</v>
          </cell>
          <cell r="G584">
            <v>9.4970693779823201E-2</v>
          </cell>
          <cell r="H584">
            <v>0.30358397833256601</v>
          </cell>
          <cell r="I584">
            <v>0.303585607283405</v>
          </cell>
        </row>
        <row r="585">
          <cell r="A585" t="str">
            <v>SCOM-SHLTHCHPWOD</v>
          </cell>
          <cell r="B585" t="str">
            <v>VAR_ncap</v>
          </cell>
          <cell r="C585" t="str">
            <v>-</v>
          </cell>
          <cell r="G585">
            <v>1.3021695900635301E-4</v>
          </cell>
          <cell r="H585">
            <v>1.86026820224287E-3</v>
          </cell>
          <cell r="I585">
            <v>4.5964421691729201E-4</v>
          </cell>
        </row>
        <row r="586">
          <cell r="A586" t="str">
            <v>SCOM-SHLTHCHPWOD</v>
          </cell>
          <cell r="B586" t="str">
            <v>VAR_cap</v>
          </cell>
          <cell r="C586" t="str">
            <v>-</v>
          </cell>
          <cell r="G586">
            <v>1.3021695900635301E-4</v>
          </cell>
          <cell r="H586">
            <v>2.7501446082385198E-3</v>
          </cell>
          <cell r="I586">
            <v>8.9410484356163998E-4</v>
          </cell>
        </row>
        <row r="587">
          <cell r="A587" t="str">
            <v>SCOM-SHSTG-NGAHP</v>
          </cell>
          <cell r="B587" t="str">
            <v>VAR_fout</v>
          </cell>
          <cell r="C587" t="str">
            <v>SCOM-SHANGAH</v>
          </cell>
          <cell r="D587">
            <v>2.6673620159364358E-4</v>
          </cell>
          <cell r="E587">
            <v>2.7280215451992983E-4</v>
          </cell>
          <cell r="F587">
            <v>9.2503971184249102E-5</v>
          </cell>
          <cell r="G587">
            <v>3.1571347540555206E-5</v>
          </cell>
          <cell r="H587">
            <v>1.3632863998062257E-4</v>
          </cell>
          <cell r="I587">
            <v>9.8067034468023889E-5</v>
          </cell>
        </row>
        <row r="588">
          <cell r="A588" t="str">
            <v>SCOM-SHSTG-NGAHP</v>
          </cell>
          <cell r="B588" t="str">
            <v>VAR_fin</v>
          </cell>
          <cell r="C588" t="str">
            <v>SCOM-SHANGAH</v>
          </cell>
          <cell r="D588">
            <v>2.6673620159364358E-4</v>
          </cell>
          <cell r="E588">
            <v>2.7280215451992983E-4</v>
          </cell>
          <cell r="F588">
            <v>1.1678822462144717E-4</v>
          </cell>
          <cell r="G588">
            <v>4.2003869886686505E-5</v>
          </cell>
          <cell r="H588">
            <v>1.6197785048940161E-4</v>
          </cell>
          <cell r="I588">
            <v>1.0770613968955401E-4</v>
          </cell>
        </row>
        <row r="589">
          <cell r="A589" t="str">
            <v>SCOM-SHSTG-NGAHP</v>
          </cell>
          <cell r="B589" t="str">
            <v>VAR_ncap</v>
          </cell>
          <cell r="C589" t="str">
            <v>-</v>
          </cell>
          <cell r="D589">
            <v>1.2693928663205E-2</v>
          </cell>
          <cell r="E589">
            <v>9.7000381323513496E-5</v>
          </cell>
          <cell r="F589">
            <v>3.8780535161526498E-2</v>
          </cell>
          <cell r="G589">
            <v>5.27775986959651E-2</v>
          </cell>
          <cell r="H589">
            <v>6.9736391806579104E-2</v>
          </cell>
          <cell r="I589">
            <v>5.1232628319155198E-2</v>
          </cell>
        </row>
        <row r="590">
          <cell r="A590" t="str">
            <v>SCOM-SHSTG-NGAHP</v>
          </cell>
          <cell r="B590" t="str">
            <v>VAR_cap</v>
          </cell>
          <cell r="C590" t="str">
            <v>-</v>
          </cell>
          <cell r="D590">
            <v>1.2693928663205E-2</v>
          </cell>
          <cell r="E590">
            <v>1.4770121750620063E-4</v>
          </cell>
          <cell r="F590">
            <v>3.8873553325478094E-2</v>
          </cell>
          <cell r="G590">
            <v>9.1485199838354112E-2</v>
          </cell>
          <cell r="H590">
            <v>0.13991270458098742</v>
          </cell>
          <cell r="I590">
            <v>0.11316502515266628</v>
          </cell>
        </row>
        <row r="591">
          <cell r="A591" t="str">
            <v>ITOT-SWHCONBR2</v>
          </cell>
          <cell r="B591" t="str">
            <v>VAR_fout</v>
          </cell>
          <cell r="C591" t="str">
            <v>ITOT-ELS</v>
          </cell>
          <cell r="E591">
            <v>0.44777838272244486</v>
          </cell>
          <cell r="F591">
            <v>0.44780357284831906</v>
          </cell>
          <cell r="G591">
            <v>0.48736077820806395</v>
          </cell>
          <cell r="H591">
            <v>0.48736741884977147</v>
          </cell>
          <cell r="I591">
            <v>0.48736802371797905</v>
          </cell>
        </row>
        <row r="592">
          <cell r="A592" t="str">
            <v>ITOT-SWHCONBR2</v>
          </cell>
          <cell r="B592" t="str">
            <v>VAR_fout</v>
          </cell>
          <cell r="C592" t="str">
            <v>ITOT-SWHC</v>
          </cell>
          <cell r="E592">
            <v>0.69217968772958571</v>
          </cell>
          <cell r="F592">
            <v>0.69221862684351876</v>
          </cell>
          <cell r="G592">
            <v>0.75336649621338758</v>
          </cell>
          <cell r="H592">
            <v>0.75337676137463871</v>
          </cell>
          <cell r="I592">
            <v>0.75337769638513308</v>
          </cell>
        </row>
        <row r="593">
          <cell r="A593" t="str">
            <v>ITOT-SWHCONBR2</v>
          </cell>
          <cell r="B593" t="str">
            <v>VAR_fin</v>
          </cell>
          <cell r="C593" t="str">
            <v>CON</v>
          </cell>
          <cell r="E593">
            <v>1.1399580704520296</v>
          </cell>
          <cell r="F593">
            <v>1.1400221996918376</v>
          </cell>
          <cell r="G593">
            <v>1.2407272744214517</v>
          </cell>
          <cell r="H593">
            <v>1.2407441802244101</v>
          </cell>
          <cell r="I593">
            <v>1.2407457201031127</v>
          </cell>
        </row>
        <row r="594">
          <cell r="A594" t="str">
            <v>ITOT-SWHCONBR2</v>
          </cell>
          <cell r="B594" t="str">
            <v>VAR_ncap</v>
          </cell>
          <cell r="C594" t="str">
            <v>-</v>
          </cell>
          <cell r="E594">
            <v>6.2009322644953797E-2</v>
          </cell>
          <cell r="F594">
            <v>1.12747274447294E-5</v>
          </cell>
          <cell r="G594">
            <v>5.4693809685966901E-3</v>
          </cell>
          <cell r="H594">
            <v>3.3513651005245899E-2</v>
          </cell>
          <cell r="I594">
            <v>3.0377468270572399E-2</v>
          </cell>
        </row>
        <row r="595">
          <cell r="A595" t="str">
            <v>ITOT-SWHCONBR2</v>
          </cell>
          <cell r="B595" t="str">
            <v>VAR_cap</v>
          </cell>
          <cell r="C595" t="str">
            <v>-</v>
          </cell>
          <cell r="E595">
            <v>6.2009322644953797E-2</v>
          </cell>
          <cell r="F595">
            <v>6.2020597372398602E-2</v>
          </cell>
          <cell r="G595">
            <v>6.7489978340995294E-2</v>
          </cell>
          <cell r="H595">
            <v>6.7494361152637003E-2</v>
          </cell>
          <cell r="I595">
            <v>6.7492160499819598E-2</v>
          </cell>
        </row>
        <row r="596">
          <cell r="A596" t="str">
            <v>RHES-SHCONBR1</v>
          </cell>
          <cell r="B596" t="str">
            <v>VAR_fout</v>
          </cell>
          <cell r="C596" t="str">
            <v>RHES-SHCON</v>
          </cell>
          <cell r="D596">
            <v>4.0832596093657622E-2</v>
          </cell>
          <cell r="E596">
            <v>1.1274594716181812</v>
          </cell>
          <cell r="F596">
            <v>0.70650895551726223</v>
          </cell>
          <cell r="G596">
            <v>2.6641967585684712</v>
          </cell>
          <cell r="H596">
            <v>5.0971199299401269</v>
          </cell>
          <cell r="I596">
            <v>6.4142365484380255</v>
          </cell>
        </row>
        <row r="597">
          <cell r="A597" t="str">
            <v>RHES-SHCONBR1</v>
          </cell>
          <cell r="B597" t="str">
            <v>VAR_fin</v>
          </cell>
          <cell r="C597" t="str">
            <v>CON</v>
          </cell>
          <cell r="D597">
            <v>4.0832596093657622E-2</v>
          </cell>
          <cell r="E597">
            <v>1.1274594716181812</v>
          </cell>
          <cell r="F597">
            <v>0.70650895551726223</v>
          </cell>
          <cell r="G597">
            <v>2.6641967585684712</v>
          </cell>
          <cell r="H597">
            <v>5.0971199299401269</v>
          </cell>
          <cell r="I597">
            <v>6.4142365484380255</v>
          </cell>
        </row>
        <row r="598">
          <cell r="A598" t="str">
            <v>RHES-SHCONBR1</v>
          </cell>
          <cell r="B598" t="str">
            <v>VAR_ncap</v>
          </cell>
          <cell r="C598" t="str">
            <v>-</v>
          </cell>
          <cell r="D598">
            <v>4.5549865995130098E-2</v>
          </cell>
          <cell r="E598">
            <v>4.5549823453754502E-2</v>
          </cell>
          <cell r="F598">
            <v>1.0186780865391799E-5</v>
          </cell>
          <cell r="G598">
            <v>0.12426236341679101</v>
          </cell>
          <cell r="H598">
            <v>4.4907316813146698E-2</v>
          </cell>
          <cell r="I598">
            <v>0.14834624397927201</v>
          </cell>
        </row>
        <row r="599">
          <cell r="A599" t="str">
            <v>RHES-SHCONBR1</v>
          </cell>
          <cell r="B599" t="str">
            <v>VAR_cap</v>
          </cell>
          <cell r="C599" t="str">
            <v>-</v>
          </cell>
          <cell r="D599">
            <v>4.5549865995130098E-2</v>
          </cell>
          <cell r="E599">
            <v>9.1099573719618715E-2</v>
          </cell>
          <cell r="F599">
            <v>9.1107274600513197E-2</v>
          </cell>
          <cell r="G599">
            <v>0.21537055510824471</v>
          </cell>
          <cell r="H599">
            <v>0.41197865111376752</v>
          </cell>
          <cell r="I599">
            <v>0.51839930829687286</v>
          </cell>
        </row>
        <row r="600">
          <cell r="A600" t="str">
            <v>ITOT-SWHCONBR3</v>
          </cell>
          <cell r="B600" t="str">
            <v>VAR_fout</v>
          </cell>
          <cell r="C600" t="str">
            <v>ITOT-ELS</v>
          </cell>
          <cell r="E600">
            <v>7.4466618898537942E-3</v>
          </cell>
          <cell r="F600">
            <v>7.5164945129123162E-3</v>
          </cell>
          <cell r="G600">
            <v>0.28968246753735921</v>
          </cell>
          <cell r="H600">
            <v>0.28968338811829591</v>
          </cell>
          <cell r="I600">
            <v>0.28968342016956783</v>
          </cell>
        </row>
        <row r="601">
          <cell r="A601" t="str">
            <v>ITOT-SWHCONBR3</v>
          </cell>
          <cell r="B601" t="str">
            <v>VAR_fout</v>
          </cell>
          <cell r="C601" t="str">
            <v>ITOT-SWHC</v>
          </cell>
          <cell r="E601">
            <v>1.4778322944170572E-2</v>
          </cell>
          <cell r="F601">
            <v>1.4916909745996963E-2</v>
          </cell>
          <cell r="G601">
            <v>0.57489128952722657</v>
          </cell>
          <cell r="H601">
            <v>0.574893116472317</v>
          </cell>
          <cell r="I601">
            <v>0.57489318007988377</v>
          </cell>
        </row>
        <row r="602">
          <cell r="A602" t="str">
            <v>ITOT-SWHCONBR3</v>
          </cell>
          <cell r="B602" t="str">
            <v>VAR_fin</v>
          </cell>
          <cell r="C602" t="str">
            <v>CON</v>
          </cell>
          <cell r="E602">
            <v>2.2224984834024363E-2</v>
          </cell>
          <cell r="F602">
            <v>2.243340425890928E-2</v>
          </cell>
          <cell r="G602">
            <v>0.86457375706458539</v>
          </cell>
          <cell r="H602">
            <v>0.8645765045906133</v>
          </cell>
          <cell r="I602">
            <v>0.86457660024945204</v>
          </cell>
        </row>
        <row r="603">
          <cell r="A603" t="str">
            <v>ITOT-SWHCONBR3</v>
          </cell>
          <cell r="B603" t="str">
            <v>VAR_ncap</v>
          </cell>
          <cell r="C603" t="str">
            <v>-</v>
          </cell>
          <cell r="E603">
            <v>1.20619184013622E-3</v>
          </cell>
          <cell r="F603">
            <v>1.1384521369545E-5</v>
          </cell>
          <cell r="G603">
            <v>4.5811358828127098E-2</v>
          </cell>
          <cell r="H603">
            <v>1.51594914543397E-2</v>
          </cell>
          <cell r="I603">
            <v>3.5781601641234201E-2</v>
          </cell>
        </row>
        <row r="604">
          <cell r="A604" t="str">
            <v>ITOT-SWHCONBR3</v>
          </cell>
          <cell r="B604" t="str">
            <v>VAR_cap</v>
          </cell>
          <cell r="C604" t="str">
            <v>-</v>
          </cell>
          <cell r="E604">
            <v>1.20619184013622E-3</v>
          </cell>
          <cell r="F604">
            <v>1.2175763615057699E-3</v>
          </cell>
          <cell r="G604">
            <v>4.7028935189632901E-2</v>
          </cell>
          <cell r="H604">
            <v>4.7031714672325697E-2</v>
          </cell>
          <cell r="I604">
            <v>4.7029398573558999E-2</v>
          </cell>
        </row>
        <row r="605">
          <cell r="A605" t="str">
            <v>ITOT-ELCSPECADV</v>
          </cell>
          <cell r="B605" t="str">
            <v>VAR_fout</v>
          </cell>
          <cell r="C605" t="str">
            <v>ITOT-ELS</v>
          </cell>
          <cell r="G605">
            <v>5.1099736605214927</v>
          </cell>
          <cell r="H605">
            <v>7.0007264173538095</v>
          </cell>
          <cell r="I605">
            <v>12.350857702480965</v>
          </cell>
        </row>
        <row r="606">
          <cell r="A606" t="str">
            <v>ITOT-ELCSPECADV</v>
          </cell>
          <cell r="B606" t="str">
            <v>VAR_fin</v>
          </cell>
          <cell r="C606" t="str">
            <v>ITOT_ELC</v>
          </cell>
          <cell r="G606">
            <v>4.399839242117551</v>
          </cell>
          <cell r="H606">
            <v>5.734567061440714</v>
          </cell>
          <cell r="I606">
            <v>9.0678561762774663</v>
          </cell>
        </row>
        <row r="607">
          <cell r="A607" t="str">
            <v>ITOT-ELCSPECADV</v>
          </cell>
          <cell r="B607" t="str">
            <v>VAR_ncap</v>
          </cell>
          <cell r="C607" t="str">
            <v>-</v>
          </cell>
          <cell r="G607">
            <v>0.27789801202068598</v>
          </cell>
          <cell r="H607">
            <v>4.3855107909024204E-3</v>
          </cell>
          <cell r="I607">
            <v>0.38743433840805103</v>
          </cell>
        </row>
        <row r="608">
          <cell r="A608" t="str">
            <v>ITOT-ELCSPECADV</v>
          </cell>
          <cell r="B608" t="str">
            <v>VAR_cap</v>
          </cell>
          <cell r="C608" t="str">
            <v>-</v>
          </cell>
          <cell r="G608">
            <v>0.27789801202068598</v>
          </cell>
          <cell r="H608">
            <v>0.38072527412566426</v>
          </cell>
          <cell r="I608">
            <v>0.67167822013899126</v>
          </cell>
        </row>
        <row r="609">
          <cell r="A609" t="str">
            <v>RHES-SHELCBR</v>
          </cell>
          <cell r="B609" t="str">
            <v>VAR_fout</v>
          </cell>
          <cell r="C609" t="str">
            <v>RHES-SHAELCB</v>
          </cell>
          <cell r="D609">
            <v>4.2800243710441768</v>
          </cell>
          <cell r="E609">
            <v>4.4884361388075558</v>
          </cell>
          <cell r="F609">
            <v>0.77354594889889894</v>
          </cell>
          <cell r="G609">
            <v>0.12952728127375709</v>
          </cell>
          <cell r="H609">
            <v>1.4020864307320339E-3</v>
          </cell>
          <cell r="I609">
            <v>2.3837505905429683E-4</v>
          </cell>
        </row>
        <row r="610">
          <cell r="A610" t="str">
            <v>RHES-SHELCBR</v>
          </cell>
          <cell r="B610" t="str">
            <v>VAR_fin</v>
          </cell>
          <cell r="C610" t="str">
            <v>RHES_ELC</v>
          </cell>
          <cell r="D610">
            <v>4.5052888116254417</v>
          </cell>
          <cell r="E610">
            <v>4.7246696197974209</v>
          </cell>
          <cell r="F610">
            <v>0.84484157318980435</v>
          </cell>
          <cell r="G610">
            <v>0.14146545817748374</v>
          </cell>
          <cell r="H610">
            <v>1.5313129201618314E-3</v>
          </cell>
          <cell r="I610">
            <v>2.5925076209581184E-4</v>
          </cell>
        </row>
        <row r="611">
          <cell r="A611" t="str">
            <v>RHES-SHELCBR</v>
          </cell>
          <cell r="B611" t="str">
            <v>VAR_ncap</v>
          </cell>
          <cell r="C611" t="str">
            <v>-</v>
          </cell>
          <cell r="D611">
            <v>1.27045228792992E-7</v>
          </cell>
          <cell r="E611">
            <v>1.7066066623717801E-2</v>
          </cell>
          <cell r="F611">
            <v>2.1209151121566199E-6</v>
          </cell>
          <cell r="G611">
            <v>3.56019842703178E-6</v>
          </cell>
          <cell r="H611">
            <v>1.81273675345046E-4</v>
          </cell>
          <cell r="I611">
            <v>1.4357848504592299E-6</v>
          </cell>
        </row>
        <row r="612">
          <cell r="A612" t="str">
            <v>RHES-SHELCBR</v>
          </cell>
          <cell r="B612" t="str">
            <v>VAR_cap</v>
          </cell>
          <cell r="C612" t="str">
            <v>-</v>
          </cell>
          <cell r="D612">
            <v>0.34576942692156176</v>
          </cell>
          <cell r="E612">
            <v>0.36283438671474588</v>
          </cell>
          <cell r="F612">
            <v>0.11006742421229077</v>
          </cell>
          <cell r="G612">
            <v>1.8744979027602748E-2</v>
          </cell>
          <cell r="H612">
            <v>1.9829669636392636E-4</v>
          </cell>
          <cell r="I612">
            <v>1.8686266498375007E-5</v>
          </cell>
        </row>
        <row r="613">
          <cell r="A613" t="str">
            <v>RHSA-WHELCBR</v>
          </cell>
          <cell r="B613" t="str">
            <v>VAR_fout</v>
          </cell>
          <cell r="C613" t="str">
            <v>RHSA-WHAELCB</v>
          </cell>
          <cell r="D613">
            <v>6.6447385190993353</v>
          </cell>
          <cell r="E613">
            <v>6.968719008948379</v>
          </cell>
          <cell r="F613">
            <v>2.7566605865638811</v>
          </cell>
          <cell r="G613">
            <v>1.9167878220168828</v>
          </cell>
          <cell r="H613">
            <v>1.5872445585811898</v>
          </cell>
          <cell r="I613">
            <v>1.3670030939968185</v>
          </cell>
        </row>
        <row r="614">
          <cell r="A614" t="str">
            <v>RHSA-WHELCBR</v>
          </cell>
          <cell r="B614" t="str">
            <v>VAR_fin</v>
          </cell>
          <cell r="C614" t="str">
            <v>RHSA_ELC</v>
          </cell>
          <cell r="D614">
            <v>8.4110614165814326</v>
          </cell>
          <cell r="E614">
            <v>8.7988876375610836</v>
          </cell>
          <cell r="F614">
            <v>5.9197209033433751</v>
          </cell>
          <cell r="G614">
            <v>3.9392441567809056</v>
          </cell>
          <cell r="H614">
            <v>3.1397067575639857</v>
          </cell>
          <cell r="I614">
            <v>2.6235740601603985</v>
          </cell>
        </row>
        <row r="615">
          <cell r="A615" t="str">
            <v>RHSA-WHELCBR</v>
          </cell>
          <cell r="B615" t="str">
            <v>VAR_ncap</v>
          </cell>
          <cell r="C615" t="str">
            <v>-</v>
          </cell>
          <cell r="D615">
            <v>2.1735465305983199E-4</v>
          </cell>
          <cell r="E615">
            <v>3.4268000380408697E-2</v>
          </cell>
          <cell r="F615">
            <v>5.6283555662260504E-6</v>
          </cell>
          <cell r="G615">
            <v>8.6879121625028692E-6</v>
          </cell>
          <cell r="H615">
            <v>6.6263622942056899E-2</v>
          </cell>
          <cell r="I615">
            <v>4.01121690667283E-2</v>
          </cell>
        </row>
        <row r="616">
          <cell r="A616" t="str">
            <v>RHSA-WHELCBR</v>
          </cell>
          <cell r="B616" t="str">
            <v>VAR_cap</v>
          </cell>
          <cell r="C616" t="str">
            <v>-</v>
          </cell>
          <cell r="D616">
            <v>0.43778594342673682</v>
          </cell>
          <cell r="E616">
            <v>0.47204856701140085</v>
          </cell>
          <cell r="F616">
            <v>0.32737645807491578</v>
          </cell>
          <cell r="G616">
            <v>0.25132347998678128</v>
          </cell>
          <cell r="H616">
            <v>0.12234747548111999</v>
          </cell>
          <cell r="I616">
            <v>0.11191765581154489</v>
          </cell>
        </row>
        <row r="617">
          <cell r="A617" t="str">
            <v>ITOT-SWHLTHDH</v>
          </cell>
          <cell r="B617" t="str">
            <v>VAR_fout</v>
          </cell>
          <cell r="C617" t="str">
            <v>ITOT-SWH</v>
          </cell>
          <cell r="D617">
            <v>6.5823332154504781</v>
          </cell>
          <cell r="E617">
            <v>7.0678582087730586</v>
          </cell>
          <cell r="F617">
            <v>6.780619572470866</v>
          </cell>
          <cell r="G617">
            <v>5.536059041564962</v>
          </cell>
          <cell r="H617">
            <v>4.9054074737291939</v>
          </cell>
          <cell r="I617">
            <v>6.236812978003865</v>
          </cell>
        </row>
        <row r="618">
          <cell r="A618" t="str">
            <v>ITOT-SWHLTHDH</v>
          </cell>
          <cell r="B618" t="str">
            <v>VAR_fin</v>
          </cell>
          <cell r="C618" t="str">
            <v>ITOT_LTH_DH</v>
          </cell>
          <cell r="D618">
            <v>7.1200673109833792</v>
          </cell>
          <cell r="E618">
            <v>7.6289164632415227</v>
          </cell>
          <cell r="F618">
            <v>7.2954875400158619</v>
          </cell>
          <cell r="G618">
            <v>5.9248680107740039</v>
          </cell>
          <cell r="H618">
            <v>5.1948803361827398</v>
          </cell>
          <cell r="I618">
            <v>6.5650662926356551</v>
          </cell>
        </row>
        <row r="619">
          <cell r="A619" t="str">
            <v>ITOT-SWHLTHDH</v>
          </cell>
          <cell r="B619" t="str">
            <v>VAR_fin</v>
          </cell>
          <cell r="C619" t="str">
            <v>ITOTLTHDHC</v>
          </cell>
          <cell r="D619">
            <v>6.5823332154504781</v>
          </cell>
          <cell r="E619">
            <v>7.0678582087730586</v>
          </cell>
          <cell r="F619">
            <v>6.780619572470866</v>
          </cell>
          <cell r="G619">
            <v>5.536059041564962</v>
          </cell>
          <cell r="H619">
            <v>4.9054074737291939</v>
          </cell>
          <cell r="I619">
            <v>6.236812978003865</v>
          </cell>
        </row>
        <row r="620">
          <cell r="A620" t="str">
            <v>ITOT-SWHLTHDH</v>
          </cell>
          <cell r="B620" t="str">
            <v>VAR_ncap</v>
          </cell>
          <cell r="C620" t="str">
            <v>-</v>
          </cell>
          <cell r="E620">
            <v>0.246500691474863</v>
          </cell>
          <cell r="F620">
            <v>0.25958881911826098</v>
          </cell>
          <cell r="G620">
            <v>0.14982576914586099</v>
          </cell>
          <cell r="H620">
            <v>0.224209331841417</v>
          </cell>
          <cell r="I620">
            <v>0.47228780537440301</v>
          </cell>
        </row>
        <row r="621">
          <cell r="A621" t="str">
            <v>ITOT-SWHLTHDH</v>
          </cell>
          <cell r="B621" t="str">
            <v>VAR_cap</v>
          </cell>
          <cell r="C621" t="str">
            <v>-</v>
          </cell>
          <cell r="D621">
            <v>0.79547229253225304</v>
          </cell>
          <cell r="E621">
            <v>0.55349900836743016</v>
          </cell>
          <cell r="F621">
            <v>0.56455188874140405</v>
          </cell>
          <cell r="G621">
            <v>0.39954922569207696</v>
          </cell>
          <cell r="H621">
            <v>0.39704109737376403</v>
          </cell>
          <cell r="I621">
            <v>0.60953875283704306</v>
          </cell>
        </row>
        <row r="622">
          <cell r="A622" t="str">
            <v>RHES-SHCONBR2</v>
          </cell>
          <cell r="B622" t="str">
            <v>VAR_fout</v>
          </cell>
          <cell r="C622" t="str">
            <v>RHES-SHCON</v>
          </cell>
          <cell r="D622">
            <v>3.5230560173823332E-2</v>
          </cell>
          <cell r="E622">
            <v>0.82049213701123513</v>
          </cell>
          <cell r="F622">
            <v>0.48458201785545801</v>
          </cell>
          <cell r="G622">
            <v>0.82310606343137838</v>
          </cell>
          <cell r="H622">
            <v>2.9197184523849282</v>
          </cell>
          <cell r="I622">
            <v>4.6680697447320636</v>
          </cell>
        </row>
        <row r="623">
          <cell r="A623" t="str">
            <v>RHES-SHCONBR2</v>
          </cell>
          <cell r="B623" t="str">
            <v>VAR_fin</v>
          </cell>
          <cell r="C623" t="str">
            <v>CON</v>
          </cell>
          <cell r="D623">
            <v>3.5230560173823332E-2</v>
          </cell>
          <cell r="E623">
            <v>0.82049213701123513</v>
          </cell>
          <cell r="F623">
            <v>0.48458201785545801</v>
          </cell>
          <cell r="G623">
            <v>0.82310606343137838</v>
          </cell>
          <cell r="H623">
            <v>2.9197184523849282</v>
          </cell>
          <cell r="I623">
            <v>4.6680697447320636</v>
          </cell>
        </row>
        <row r="624">
          <cell r="A624" t="str">
            <v>RHES-SHCONBR2</v>
          </cell>
          <cell r="B624" t="str">
            <v>VAR_ncap</v>
          </cell>
          <cell r="C624" t="str">
            <v>-</v>
          </cell>
          <cell r="D624">
            <v>3.3149744610317999E-2</v>
          </cell>
          <cell r="E624">
            <v>3.3149707785420701E-2</v>
          </cell>
          <cell r="F624">
            <v>1.01532643260455E-5</v>
          </cell>
          <cell r="G624">
            <v>3.2120169558427401E-4</v>
          </cell>
          <cell r="H624">
            <v>0.12076976985391499</v>
          </cell>
          <cell r="I624">
            <v>0.17172887035392601</v>
          </cell>
        </row>
        <row r="625">
          <cell r="A625" t="str">
            <v>RHES-SHCONBR2</v>
          </cell>
          <cell r="B625" t="str">
            <v>VAR_cap</v>
          </cell>
          <cell r="C625" t="str">
            <v>-</v>
          </cell>
          <cell r="D625">
            <v>3.3149744610317999E-2</v>
          </cell>
          <cell r="E625">
            <v>6.6299340012182795E-2</v>
          </cell>
          <cell r="F625">
            <v>6.6307064187403272E-2</v>
          </cell>
          <cell r="G625">
            <v>6.6629149041391569E-2</v>
          </cell>
          <cell r="H625">
            <v>0.23606953147162957</v>
          </cell>
          <cell r="I625">
            <v>0.37728588792408913</v>
          </cell>
        </row>
        <row r="626">
          <cell r="A626" t="str">
            <v>ITOT-SWHCONBR4</v>
          </cell>
          <cell r="B626" t="str">
            <v>VAR_fout</v>
          </cell>
          <cell r="C626" t="str">
            <v>ITOT-ELS</v>
          </cell>
          <cell r="E626">
            <v>0.16534746383638069</v>
          </cell>
          <cell r="F626">
            <v>0.16534499967052713</v>
          </cell>
          <cell r="G626">
            <v>0.57457960876162917</v>
          </cell>
          <cell r="H626">
            <v>0.57457855942649938</v>
          </cell>
          <cell r="I626">
            <v>0.5745788835374428</v>
          </cell>
        </row>
        <row r="627">
          <cell r="A627" t="str">
            <v>ITOT-SWHCONBR4</v>
          </cell>
          <cell r="B627" t="str">
            <v>VAR_fout</v>
          </cell>
          <cell r="C627" t="str">
            <v>ITOT-SWHC</v>
          </cell>
          <cell r="E627">
            <v>1.7769128751239873</v>
          </cell>
          <cell r="F627">
            <v>1.7768863938709347</v>
          </cell>
          <cell r="G627">
            <v>6.1747418490951276</v>
          </cell>
          <cell r="H627">
            <v>6.1747305723748269</v>
          </cell>
          <cell r="I627">
            <v>6.1747340554455317</v>
          </cell>
        </row>
        <row r="628">
          <cell r="A628" t="str">
            <v>ITOT-SWHCONBR4</v>
          </cell>
          <cell r="B628" t="str">
            <v>VAR_fin</v>
          </cell>
          <cell r="C628" t="str">
            <v>CON</v>
          </cell>
          <cell r="E628">
            <v>1.942260338960367</v>
          </cell>
          <cell r="F628">
            <v>1.9422313935414608</v>
          </cell>
          <cell r="G628">
            <v>6.7493214578567606</v>
          </cell>
          <cell r="H628">
            <v>6.749309131801323</v>
          </cell>
          <cell r="I628">
            <v>6.7493129389829694</v>
          </cell>
        </row>
        <row r="629">
          <cell r="A629" t="str">
            <v>ITOT-SWHCONBR4</v>
          </cell>
          <cell r="B629" t="str">
            <v>VAR_ncap</v>
          </cell>
          <cell r="C629" t="str">
            <v>-</v>
          </cell>
          <cell r="E629">
            <v>0.105643744824236</v>
          </cell>
          <cell r="F629">
            <v>1.25578267043763E-5</v>
          </cell>
          <cell r="G629">
            <v>0.26142126512819203</v>
          </cell>
          <cell r="H629">
            <v>0.183532833557153</v>
          </cell>
          <cell r="I629">
            <v>0.23177629568375799</v>
          </cell>
        </row>
        <row r="630">
          <cell r="A630" t="str">
            <v>ITOT-SWHCONBR4</v>
          </cell>
          <cell r="B630" t="str">
            <v>VAR_cap</v>
          </cell>
          <cell r="C630" t="str">
            <v>-</v>
          </cell>
          <cell r="E630">
            <v>0.105643744824236</v>
          </cell>
          <cell r="F630">
            <v>0.10565630265094</v>
          </cell>
          <cell r="G630">
            <v>0.36707756777913197</v>
          </cell>
          <cell r="H630">
            <v>0.36708990186797602</v>
          </cell>
          <cell r="I630">
            <v>0.367090455582117</v>
          </cell>
        </row>
        <row r="631">
          <cell r="A631" t="str">
            <v>D-ITOT_NKEV_GAS_ELC_CHP</v>
          </cell>
          <cell r="B631" t="str">
            <v>VAR_fout</v>
          </cell>
          <cell r="C631" t="str">
            <v>ITOT_ELC</v>
          </cell>
          <cell r="D631">
            <v>0.64104605454156594</v>
          </cell>
          <cell r="E631">
            <v>7.6952539506088505E-2</v>
          </cell>
          <cell r="F631">
            <v>4.1324199457472018E-2</v>
          </cell>
          <cell r="G631">
            <v>2.0198003145701811E-3</v>
          </cell>
          <cell r="H631">
            <v>0.25921222373472796</v>
          </cell>
          <cell r="I631">
            <v>0.11450734810032065</v>
          </cell>
        </row>
        <row r="632">
          <cell r="A632" t="str">
            <v>D-ITOT_NKEV_GAS_ELC_CHP</v>
          </cell>
          <cell r="B632" t="str">
            <v>VAR_fout</v>
          </cell>
          <cell r="C632" t="str">
            <v>ELC5</v>
          </cell>
          <cell r="D632">
            <v>2.8955963571045233E-2</v>
          </cell>
          <cell r="E632">
            <v>1.369540905692628E-2</v>
          </cell>
          <cell r="F632">
            <v>8.2692048790188842E-3</v>
          </cell>
          <cell r="G632">
            <v>2.1277291492595555E-2</v>
          </cell>
          <cell r="H632">
            <v>4.6470285504680277E-2</v>
          </cell>
          <cell r="I632">
            <v>2.6994558067536638E-2</v>
          </cell>
        </row>
        <row r="633">
          <cell r="A633" t="str">
            <v>D-ITOT_NKEV_GAS_ELC_CHP</v>
          </cell>
          <cell r="B633" t="str">
            <v>VAR_fin</v>
          </cell>
          <cell r="C633" t="str">
            <v>ITOT_NKEV_GAS_ELC_CHP</v>
          </cell>
          <cell r="D633">
            <v>0.67000201811261206</v>
          </cell>
          <cell r="E633">
            <v>9.0647948563014752E-2</v>
          </cell>
          <cell r="F633">
            <v>4.9557839364059761E-2</v>
          </cell>
          <cell r="G633">
            <v>2.3255373020541585E-2</v>
          </cell>
          <cell r="H633">
            <v>0.30568250923940787</v>
          </cell>
          <cell r="I633">
            <v>0.14150190616785727</v>
          </cell>
        </row>
        <row r="634">
          <cell r="A634" t="str">
            <v>SCOM-SHELCBR</v>
          </cell>
          <cell r="B634" t="str">
            <v>VAR_fout</v>
          </cell>
          <cell r="C634" t="str">
            <v>SCOM-SHAELCB</v>
          </cell>
          <cell r="D634">
            <v>2.3940759854578726</v>
          </cell>
          <cell r="E634">
            <v>4.2436748273813198E-2</v>
          </cell>
          <cell r="F634">
            <v>0.48752212117773508</v>
          </cell>
          <cell r="G634">
            <v>0.28735572817109345</v>
          </cell>
          <cell r="H634">
            <v>0.19483072352519276</v>
          </cell>
          <cell r="I634">
            <v>0.1338879124386714</v>
          </cell>
        </row>
        <row r="635">
          <cell r="A635" t="str">
            <v>SCOM-SHELCBR</v>
          </cell>
          <cell r="B635" t="str">
            <v>VAR_fin</v>
          </cell>
          <cell r="C635" t="str">
            <v>SCOM_ELC</v>
          </cell>
          <cell r="D635">
            <v>2.623644915570273</v>
          </cell>
          <cell r="E635">
            <v>4.6378959862090841E-2</v>
          </cell>
          <cell r="F635">
            <v>1.0280003221273244</v>
          </cell>
          <cell r="G635">
            <v>0.57881335440731296</v>
          </cell>
          <cell r="H635">
            <v>0.38069482855235853</v>
          </cell>
          <cell r="I635">
            <v>0.2531337510936989</v>
          </cell>
        </row>
        <row r="636">
          <cell r="A636" t="str">
            <v>SCOM-SHELCBR</v>
          </cell>
          <cell r="B636" t="str">
            <v>VAR_ncap</v>
          </cell>
          <cell r="C636" t="str">
            <v>-</v>
          </cell>
          <cell r="D636">
            <v>4.3935746821674603E-5</v>
          </cell>
          <cell r="E636">
            <v>1.9773789691076401E-5</v>
          </cell>
          <cell r="F636">
            <v>3.2145236699765101E-2</v>
          </cell>
          <cell r="G636">
            <v>2.1197701483615299E-5</v>
          </cell>
          <cell r="H636">
            <v>1.9114921766635502E-2</v>
          </cell>
          <cell r="I636">
            <v>2.2592469685352801E-3</v>
          </cell>
        </row>
        <row r="637">
          <cell r="A637" t="str">
            <v>SCOM-SHELCBR</v>
          </cell>
          <cell r="B637" t="str">
            <v>VAR_cap</v>
          </cell>
          <cell r="C637" t="str">
            <v>-</v>
          </cell>
          <cell r="D637">
            <v>0.18503198409826369</v>
          </cell>
          <cell r="E637">
            <v>6.7212799685547608E-3</v>
          </cell>
          <cell r="F637">
            <v>3.88417923418439E-2</v>
          </cell>
          <cell r="G637">
            <v>3.8319384592589489E-2</v>
          </cell>
          <cell r="H637">
            <v>2.501257418531606E-2</v>
          </cell>
          <cell r="I637">
            <v>1.6239312473180841E-2</v>
          </cell>
        </row>
        <row r="638">
          <cell r="A638" t="str">
            <v>RHES-SHCONBR3</v>
          </cell>
          <cell r="B638" t="str">
            <v>VAR_fout</v>
          </cell>
          <cell r="C638" t="str">
            <v>RHES-SHCON</v>
          </cell>
          <cell r="D638">
            <v>4.5675754618975238E-2</v>
          </cell>
          <cell r="E638">
            <v>1.3553034804181125</v>
          </cell>
          <cell r="F638">
            <v>0.88501289880364609</v>
          </cell>
          <cell r="G638">
            <v>1.3540628376090367</v>
          </cell>
          <cell r="H638">
            <v>1.3535188786492649</v>
          </cell>
          <cell r="I638">
            <v>3.2505375257396367</v>
          </cell>
        </row>
        <row r="639">
          <cell r="A639" t="str">
            <v>RHES-SHCONBR3</v>
          </cell>
          <cell r="B639" t="str">
            <v>VAR_fin</v>
          </cell>
          <cell r="C639" t="str">
            <v>CON</v>
          </cell>
          <cell r="D639">
            <v>4.5675754618975238E-2</v>
          </cell>
          <cell r="E639">
            <v>1.3553034804181125</v>
          </cell>
          <cell r="F639">
            <v>0.88501289880364609</v>
          </cell>
          <cell r="G639">
            <v>1.3540628376090367</v>
          </cell>
          <cell r="H639">
            <v>1.3535188786492649</v>
          </cell>
          <cell r="I639">
            <v>3.2505375257396367</v>
          </cell>
        </row>
        <row r="640">
          <cell r="A640" t="str">
            <v>RHES-SHCONBR3</v>
          </cell>
          <cell r="B640" t="str">
            <v>VAR_ncap</v>
          </cell>
          <cell r="C640" t="str">
            <v>-</v>
          </cell>
          <cell r="D640">
            <v>5.4754226437626702E-2</v>
          </cell>
          <cell r="E640">
            <v>5.4753207081013999E-2</v>
          </cell>
          <cell r="F640">
            <v>1.51101116899181E-6</v>
          </cell>
          <cell r="G640">
            <v>2.0424886085710299E-6</v>
          </cell>
          <cell r="H640">
            <v>3.5816909876902399E-6</v>
          </cell>
          <cell r="I640">
            <v>0.20355294587930001</v>
          </cell>
        </row>
        <row r="641">
          <cell r="A641" t="str">
            <v>RHES-SHCONBR3</v>
          </cell>
          <cell r="B641" t="str">
            <v>VAR_cap</v>
          </cell>
          <cell r="C641" t="str">
            <v>-</v>
          </cell>
          <cell r="D641">
            <v>5.4754226437626702E-2</v>
          </cell>
          <cell r="E641">
            <v>0.10950731585139777</v>
          </cell>
          <cell r="F641">
            <v>0.10950638899953273</v>
          </cell>
          <cell r="G641">
            <v>0.10950947145466107</v>
          </cell>
          <cell r="H641">
            <v>0.10951712680444235</v>
          </cell>
          <cell r="I641">
            <v>0.26267598382984986</v>
          </cell>
        </row>
        <row r="642">
          <cell r="A642" t="str">
            <v>ITOT-SWHCONBR5</v>
          </cell>
          <cell r="B642" t="str">
            <v>VAR_fout</v>
          </cell>
          <cell r="C642" t="str">
            <v>ITOT-ELS</v>
          </cell>
          <cell r="E642">
            <v>3.4437828476967147E-3</v>
          </cell>
          <cell r="F642">
            <v>3.4703374580966513E-3</v>
          </cell>
          <cell r="G642">
            <v>0.50161134341069435</v>
          </cell>
          <cell r="H642">
            <v>0.50161059967564003</v>
          </cell>
          <cell r="I642">
            <v>0.50160917789567749</v>
          </cell>
        </row>
        <row r="643">
          <cell r="A643" t="str">
            <v>ITOT-SWHCONBR5</v>
          </cell>
          <cell r="B643" t="str">
            <v>VAR_fout</v>
          </cell>
          <cell r="C643" t="str">
            <v>ITOT-SWHC</v>
          </cell>
          <cell r="E643">
            <v>1.689132948411904E-2</v>
          </cell>
          <cell r="F643">
            <v>1.7021576568045278E-2</v>
          </cell>
          <cell r="G643">
            <v>2.4603416792636845</v>
          </cell>
          <cell r="H643">
            <v>2.4603380313351106</v>
          </cell>
          <cell r="I643">
            <v>2.4603310576800168</v>
          </cell>
        </row>
        <row r="644">
          <cell r="A644" t="str">
            <v>ITOT-SWHCONBR5</v>
          </cell>
          <cell r="B644" t="str">
            <v>VAR_fin</v>
          </cell>
          <cell r="C644" t="str">
            <v>CON</v>
          </cell>
          <cell r="E644">
            <v>2.0335112331815772E-2</v>
          </cell>
          <cell r="F644">
            <v>2.0491914026141918E-2</v>
          </cell>
          <cell r="G644">
            <v>2.9619530226743818</v>
          </cell>
          <cell r="H644">
            <v>2.9619486310107499</v>
          </cell>
          <cell r="I644">
            <v>2.9619402355756947</v>
          </cell>
        </row>
        <row r="645">
          <cell r="A645" t="str">
            <v>ITOT-SWHCONBR5</v>
          </cell>
          <cell r="B645" t="str">
            <v>VAR_ncap</v>
          </cell>
          <cell r="C645" t="str">
            <v>-</v>
          </cell>
          <cell r="E645">
            <v>1.1019993717795999E-3</v>
          </cell>
          <cell r="F645">
            <v>9.9807460277404696E-6</v>
          </cell>
          <cell r="G645">
            <v>0.15998573517213399</v>
          </cell>
          <cell r="H645">
            <v>5.1645555826018701E-2</v>
          </cell>
          <cell r="I645">
            <v>0.12354149164537601</v>
          </cell>
        </row>
        <row r="646">
          <cell r="A646" t="str">
            <v>ITOT-SWHCONBR5</v>
          </cell>
          <cell r="B646" t="str">
            <v>VAR_cap</v>
          </cell>
          <cell r="C646" t="str">
            <v>-</v>
          </cell>
          <cell r="E646">
            <v>1.1019993717795999E-3</v>
          </cell>
          <cell r="F646">
            <v>1.1119801178073401E-3</v>
          </cell>
          <cell r="G646">
            <v>0.16109771528994099</v>
          </cell>
          <cell r="H646">
            <v>0.16110652696592201</v>
          </cell>
          <cell r="I646">
            <v>0.16110325257123501</v>
          </cell>
        </row>
        <row r="647">
          <cell r="A647" t="str">
            <v>RHES-SHSTG-ELC</v>
          </cell>
          <cell r="B647" t="str">
            <v>VAR_fout</v>
          </cell>
          <cell r="C647" t="str">
            <v>RHES-SHAELCB</v>
          </cell>
          <cell r="D647">
            <v>3.9313131405449477E-6</v>
          </cell>
          <cell r="E647">
            <v>0.69005185907918942</v>
          </cell>
          <cell r="F647">
            <v>0.17790067523278622</v>
          </cell>
          <cell r="G647">
            <v>1.7789102940143978E-2</v>
          </cell>
          <cell r="H647">
            <v>9.2047525689241007E-5</v>
          </cell>
          <cell r="I647">
            <v>1.6045461348396121E-5</v>
          </cell>
        </row>
        <row r="648">
          <cell r="A648" t="str">
            <v>RHES-SHSTG-ELC</v>
          </cell>
          <cell r="B648" t="str">
            <v>VAR_fin</v>
          </cell>
          <cell r="C648" t="str">
            <v>RHES-SHAELCB</v>
          </cell>
          <cell r="D648">
            <v>2.8586445378423588E-5</v>
          </cell>
          <cell r="E648">
            <v>0.69007806231526803</v>
          </cell>
          <cell r="F648">
            <v>0.17789537221246274</v>
          </cell>
          <cell r="G648">
            <v>1.7780085291272431E-2</v>
          </cell>
          <cell r="H648">
            <v>9.5080058407248145E-5</v>
          </cell>
          <cell r="I648">
            <v>1.6504016968769058E-5</v>
          </cell>
        </row>
        <row r="649">
          <cell r="A649" t="str">
            <v>RHES-SHSTG-ELC</v>
          </cell>
          <cell r="B649" t="str">
            <v>VAR_ncap</v>
          </cell>
          <cell r="C649" t="str">
            <v>-</v>
          </cell>
          <cell r="D649">
            <v>5.8872048192379303E-2</v>
          </cell>
          <cell r="E649">
            <v>5.4568116249166599E-3</v>
          </cell>
          <cell r="F649">
            <v>1.21472265037798E-4</v>
          </cell>
          <cell r="G649">
            <v>9.8410194634542005E-5</v>
          </cell>
          <cell r="H649">
            <v>4.0561897908415203E-5</v>
          </cell>
          <cell r="I649">
            <v>7.3257589613023703E-6</v>
          </cell>
        </row>
        <row r="650">
          <cell r="A650" t="str">
            <v>RHES-SHSTG-ELC</v>
          </cell>
          <cell r="B650" t="str">
            <v>VAR_cap</v>
          </cell>
          <cell r="C650" t="str">
            <v>-</v>
          </cell>
          <cell r="D650">
            <v>5.8872048192379303E-2</v>
          </cell>
          <cell r="E650">
            <v>6.4031720949644766E-2</v>
          </cell>
          <cell r="F650">
            <v>1.9425619369732208E-2</v>
          </cell>
          <cell r="G650">
            <v>3.3099639802122993E-3</v>
          </cell>
          <cell r="H650">
            <v>3.5929875724918011E-5</v>
          </cell>
          <cell r="I650">
            <v>4.5364873918425956E-6</v>
          </cell>
        </row>
        <row r="651">
          <cell r="A651" t="str">
            <v>RHES-SHCONBR4</v>
          </cell>
          <cell r="B651" t="str">
            <v>VAR_fout</v>
          </cell>
          <cell r="C651" t="str">
            <v>RHES-SHCON</v>
          </cell>
          <cell r="E651">
            <v>0.42653109879366191</v>
          </cell>
          <cell r="F651">
            <v>0.2279835111086336</v>
          </cell>
          <cell r="G651">
            <v>0.42542057726425836</v>
          </cell>
          <cell r="H651">
            <v>0.42491552842175068</v>
          </cell>
          <cell r="I651">
            <v>0.2461018474856792</v>
          </cell>
        </row>
        <row r="652">
          <cell r="A652" t="str">
            <v>RHES-SHCONBR4</v>
          </cell>
          <cell r="B652" t="str">
            <v>VAR_fin</v>
          </cell>
          <cell r="C652" t="str">
            <v>CON</v>
          </cell>
          <cell r="E652">
            <v>0.42653109879366191</v>
          </cell>
          <cell r="F652">
            <v>0.2279835111086336</v>
          </cell>
          <cell r="G652">
            <v>0.42542057726425836</v>
          </cell>
          <cell r="H652">
            <v>0.42491552842175068</v>
          </cell>
          <cell r="I652">
            <v>0.2461018474856792</v>
          </cell>
        </row>
        <row r="653">
          <cell r="A653" t="str">
            <v>RHES-SHCONBR4</v>
          </cell>
          <cell r="B653" t="str">
            <v>VAR_ncap</v>
          </cell>
          <cell r="C653" t="str">
            <v>-</v>
          </cell>
          <cell r="E653">
            <v>3.4470633847108703E-2</v>
          </cell>
          <cell r="F653">
            <v>1.27785963210466E-6</v>
          </cell>
          <cell r="G653">
            <v>2.0259326720564199E-6</v>
          </cell>
          <cell r="H653">
            <v>4.9490392785875901E-6</v>
          </cell>
          <cell r="I653">
            <v>9.2636449128415806E-6</v>
          </cell>
        </row>
        <row r="654">
          <cell r="A654" t="str">
            <v>RHES-SHCONBR4</v>
          </cell>
          <cell r="B654" t="str">
            <v>VAR_cap</v>
          </cell>
          <cell r="C654" t="str">
            <v>-</v>
          </cell>
          <cell r="E654">
            <v>3.4470633847108703E-2</v>
          </cell>
          <cell r="F654">
            <v>3.4470865031607283E-2</v>
          </cell>
          <cell r="G654">
            <v>3.4473056657315947E-2</v>
          </cell>
          <cell r="H654">
            <v>3.4480773428672319E-2</v>
          </cell>
          <cell r="I654">
            <v>1.9947103668197956E-2</v>
          </cell>
        </row>
        <row r="655">
          <cell r="A655" t="str">
            <v>ITOT-SWHCONBR6</v>
          </cell>
          <cell r="B655" t="str">
            <v>VAR_fout</v>
          </cell>
          <cell r="C655" t="str">
            <v>ITOT-SWHC</v>
          </cell>
          <cell r="E655">
            <v>4.4162916556943895E-3</v>
          </cell>
          <cell r="F655">
            <v>4.4814032145495848E-3</v>
          </cell>
          <cell r="G655">
            <v>4.5296451043600264E-3</v>
          </cell>
          <cell r="H655">
            <v>1.3672397749822407</v>
          </cell>
          <cell r="I655">
            <v>2.5107842073599351</v>
          </cell>
        </row>
        <row r="656">
          <cell r="A656" t="str">
            <v>ITOT-SWHCONBR6</v>
          </cell>
          <cell r="B656" t="str">
            <v>VAR_fin</v>
          </cell>
          <cell r="C656" t="str">
            <v>CON</v>
          </cell>
          <cell r="E656">
            <v>4.4162916556943895E-3</v>
          </cell>
          <cell r="F656">
            <v>4.4814032145495848E-3</v>
          </cell>
          <cell r="G656">
            <v>4.5296451043600264E-3</v>
          </cell>
          <cell r="H656">
            <v>1.3672397749822407</v>
          </cell>
          <cell r="I656">
            <v>2.5107842073599351</v>
          </cell>
        </row>
        <row r="657">
          <cell r="A657" t="str">
            <v>ITOT-SWHCONBR6</v>
          </cell>
          <cell r="B657" t="str">
            <v>VAR_ncap</v>
          </cell>
          <cell r="C657" t="str">
            <v>-</v>
          </cell>
          <cell r="E657">
            <v>2.35839909373329E-4</v>
          </cell>
          <cell r="F657">
            <v>4.9747168013379596E-6</v>
          </cell>
          <cell r="G657">
            <v>3.6413813998301299E-6</v>
          </cell>
          <cell r="H657">
            <v>5.4249868710727803E-2</v>
          </cell>
          <cell r="I657">
            <v>8.8680962266629804E-2</v>
          </cell>
        </row>
        <row r="658">
          <cell r="A658" t="str">
            <v>ITOT-SWHCONBR6</v>
          </cell>
          <cell r="B658" t="str">
            <v>VAR_cap</v>
          </cell>
          <cell r="C658" t="str">
            <v>-</v>
          </cell>
          <cell r="E658">
            <v>2.35839909373329E-4</v>
          </cell>
          <cell r="F658">
            <v>2.40814626174667E-4</v>
          </cell>
          <cell r="G658">
            <v>2.4445600757449701E-4</v>
          </cell>
          <cell r="H658">
            <v>7.43704104982571E-2</v>
          </cell>
          <cell r="I658">
            <v>0.136561367506776</v>
          </cell>
        </row>
        <row r="659">
          <cell r="A659" t="str">
            <v>RHNM-SHNGAHP</v>
          </cell>
          <cell r="B659" t="str">
            <v>VAR_fout</v>
          </cell>
          <cell r="C659" t="str">
            <v>CO2_R</v>
          </cell>
          <cell r="F659">
            <v>7.0797339931665899</v>
          </cell>
          <cell r="G659">
            <v>22.632278265320299</v>
          </cell>
          <cell r="H659">
            <v>36.737509734900499</v>
          </cell>
          <cell r="I659">
            <v>32.645212781034502</v>
          </cell>
        </row>
        <row r="660">
          <cell r="A660" t="str">
            <v>RHNM-SHNGAHP</v>
          </cell>
          <cell r="B660" t="str">
            <v>VAR_fout</v>
          </cell>
          <cell r="C660" t="str">
            <v>RHNM-SHANGAH</v>
          </cell>
          <cell r="F660">
            <v>0.2462019354771546</v>
          </cell>
          <cell r="G660">
            <v>0.81780579600483361</v>
          </cell>
          <cell r="H660">
            <v>1.362215854185596</v>
          </cell>
          <cell r="I660">
            <v>1.2361865709834934</v>
          </cell>
        </row>
        <row r="661">
          <cell r="A661" t="str">
            <v>RHNM-SHNGAHP</v>
          </cell>
          <cell r="B661" t="str">
            <v>VAR_fin</v>
          </cell>
          <cell r="C661" t="str">
            <v>RNGA</v>
          </cell>
          <cell r="F661">
            <v>0.12552719846040059</v>
          </cell>
          <cell r="G661">
            <v>0.40128152952695534</v>
          </cell>
          <cell r="H661">
            <v>0.65137428607979642</v>
          </cell>
          <cell r="I661">
            <v>0.57881582945096721</v>
          </cell>
        </row>
        <row r="662">
          <cell r="A662" t="str">
            <v>RHNM-SHNGAHP</v>
          </cell>
          <cell r="B662" t="str">
            <v>VAR_fin</v>
          </cell>
          <cell r="C662" t="str">
            <v>RHNMELCHPC</v>
          </cell>
          <cell r="F662">
            <v>0.2462019354771546</v>
          </cell>
          <cell r="G662">
            <v>0.81780579600483361</v>
          </cell>
          <cell r="H662">
            <v>1.362215854185596</v>
          </cell>
          <cell r="I662">
            <v>1.2361865709834934</v>
          </cell>
        </row>
        <row r="663">
          <cell r="A663" t="str">
            <v>RHNM-SHNGAHP</v>
          </cell>
          <cell r="B663" t="str">
            <v>VAR_ncap</v>
          </cell>
          <cell r="C663" t="str">
            <v>-</v>
          </cell>
          <cell r="E663">
            <v>1.19485784704142E-5</v>
          </cell>
          <cell r="F663">
            <v>2.0019013477664702E-2</v>
          </cell>
          <cell r="G663">
            <v>4.38941816328072E-2</v>
          </cell>
          <cell r="H663">
            <v>4.8878269225195399E-2</v>
          </cell>
          <cell r="I663">
            <v>5.0909640367549802E-2</v>
          </cell>
        </row>
        <row r="664">
          <cell r="A664" t="str">
            <v>RHNM-SHNGAHP</v>
          </cell>
          <cell r="B664" t="str">
            <v>VAR_cap</v>
          </cell>
          <cell r="C664" t="str">
            <v>-</v>
          </cell>
          <cell r="E664">
            <v>1.19485784704142E-5</v>
          </cell>
          <cell r="F664">
            <v>2.0029819613428517E-2</v>
          </cell>
          <cell r="G664">
            <v>6.392299151127015E-2</v>
          </cell>
          <cell r="H664">
            <v>0.10634814366485781</v>
          </cell>
          <cell r="I664">
            <v>9.6510868632971744E-2</v>
          </cell>
        </row>
        <row r="665">
          <cell r="A665" t="str">
            <v>D-SCOM_KEV_WOD_ELC_CHP</v>
          </cell>
          <cell r="B665" t="str">
            <v>VAR_fout</v>
          </cell>
          <cell r="C665" t="str">
            <v>ELC5</v>
          </cell>
          <cell r="G665">
            <v>3.1727640485682609E-4</v>
          </cell>
          <cell r="H665">
            <v>1.0776497104715841E-2</v>
          </cell>
          <cell r="I665">
            <v>1.9242229401715712E-3</v>
          </cell>
        </row>
        <row r="666">
          <cell r="A666" t="str">
            <v>D-SCOM_KEV_WOD_ELC_CHP</v>
          </cell>
          <cell r="B666" t="str">
            <v>VAR_fout</v>
          </cell>
          <cell r="C666" t="str">
            <v>SCOM_ELC</v>
          </cell>
          <cell r="G666">
            <v>2.9288156560221555E-4</v>
          </cell>
          <cell r="H666">
            <v>1.0764411901494159E-2</v>
          </cell>
          <cell r="I666">
            <v>1.9210848544893295E-3</v>
          </cell>
        </row>
        <row r="667">
          <cell r="A667" t="str">
            <v>D-SCOM_KEV_WOD_ELC_CHP</v>
          </cell>
          <cell r="B667" t="str">
            <v>VAR_fin</v>
          </cell>
          <cell r="C667" t="str">
            <v>SCOM_KEV_WOD_ELC_CHP</v>
          </cell>
          <cell r="G667">
            <v>5.9951465929474802E-4</v>
          </cell>
          <cell r="H667">
            <v>2.1477311390011557E-2</v>
          </cell>
          <cell r="I667">
            <v>3.778785611714605E-3</v>
          </cell>
        </row>
        <row r="668">
          <cell r="A668" t="str">
            <v>RHES-SHCONBR5</v>
          </cell>
          <cell r="B668" t="str">
            <v>VAR_fout</v>
          </cell>
          <cell r="C668" t="str">
            <v>RHES-SHCON</v>
          </cell>
          <cell r="E668">
            <v>1.8074210633826207E-2</v>
          </cell>
          <cell r="F668">
            <v>8.9686500150727207E-3</v>
          </cell>
          <cell r="G668">
            <v>1.7117533183517709E-2</v>
          </cell>
          <cell r="H668">
            <v>1.6739615220813298E-2</v>
          </cell>
          <cell r="I668">
            <v>9.9878725676063526E-3</v>
          </cell>
        </row>
        <row r="669">
          <cell r="A669" t="str">
            <v>RHES-SHCONBR5</v>
          </cell>
          <cell r="B669" t="str">
            <v>VAR_fin</v>
          </cell>
          <cell r="C669" t="str">
            <v>CON</v>
          </cell>
          <cell r="E669">
            <v>1.8074210633826207E-2</v>
          </cell>
          <cell r="F669">
            <v>8.9686500150727207E-3</v>
          </cell>
          <cell r="G669">
            <v>1.7117533183517709E-2</v>
          </cell>
          <cell r="H669">
            <v>1.6739615220813298E-2</v>
          </cell>
          <cell r="I669">
            <v>9.9878725676063526E-3</v>
          </cell>
        </row>
        <row r="670">
          <cell r="A670" t="str">
            <v>RHES-SHCONBR5</v>
          </cell>
          <cell r="B670" t="str">
            <v>VAR_ncap</v>
          </cell>
          <cell r="C670" t="str">
            <v>-</v>
          </cell>
          <cell r="E670">
            <v>1.47059200101676E-3</v>
          </cell>
          <cell r="F670">
            <v>8.8785255213389298E-7</v>
          </cell>
          <cell r="G670">
            <v>1.23816326763925E-6</v>
          </cell>
          <cell r="H670">
            <v>2.6709187389350398E-6</v>
          </cell>
          <cell r="I670">
            <v>4.1496427309437402E-6</v>
          </cell>
        </row>
        <row r="671">
          <cell r="A671" t="str">
            <v>RHES-SHCONBR5</v>
          </cell>
          <cell r="B671" t="str">
            <v>VAR_cap</v>
          </cell>
          <cell r="C671" t="str">
            <v>-</v>
          </cell>
          <cell r="E671">
            <v>1.47059200101676E-3</v>
          </cell>
          <cell r="F671">
            <v>1.4705895996232298E-3</v>
          </cell>
          <cell r="G671">
            <v>1.471914233443552E-3</v>
          </cell>
          <cell r="H671">
            <v>1.4759781208344681E-3</v>
          </cell>
          <cell r="I671">
            <v>8.599976431536686E-4</v>
          </cell>
        </row>
        <row r="672">
          <cell r="A672" t="str">
            <v>RHNS-SHCONBR</v>
          </cell>
          <cell r="B672" t="str">
            <v>VAR_fout</v>
          </cell>
          <cell r="C672" t="str">
            <v>RHNS-SHCON</v>
          </cell>
          <cell r="F672">
            <v>1.6612054401855075E-2</v>
          </cell>
          <cell r="G672">
            <v>0.10064120476337782</v>
          </cell>
          <cell r="H672">
            <v>9.9902434557212774E-2</v>
          </cell>
          <cell r="I672">
            <v>0.10055081063225624</v>
          </cell>
        </row>
        <row r="673">
          <cell r="A673" t="str">
            <v>RHNS-SHCONBR</v>
          </cell>
          <cell r="B673" t="str">
            <v>VAR_fin</v>
          </cell>
          <cell r="C673" t="str">
            <v>CON</v>
          </cell>
          <cell r="F673">
            <v>1.6612054401855075E-2</v>
          </cell>
          <cell r="G673">
            <v>0.10064120476337782</v>
          </cell>
          <cell r="H673">
            <v>9.9902434557212774E-2</v>
          </cell>
          <cell r="I673">
            <v>0.10055081063225624</v>
          </cell>
        </row>
        <row r="674">
          <cell r="A674" t="str">
            <v>RHNS-SHCONBR</v>
          </cell>
          <cell r="B674" t="str">
            <v>VAR_ncap</v>
          </cell>
          <cell r="C674" t="str">
            <v>-</v>
          </cell>
          <cell r="E674">
            <v>3.8330013305382302E-7</v>
          </cell>
          <cell r="F674">
            <v>1.2854879791472499E-3</v>
          </cell>
          <cell r="G674">
            <v>6.06741939013855E-3</v>
          </cell>
          <cell r="H674">
            <v>9.59464513138953E-7</v>
          </cell>
          <cell r="I674">
            <v>4.4031638305621898E-7</v>
          </cell>
        </row>
        <row r="675">
          <cell r="A675" t="str">
            <v>RHNS-SHCONBR</v>
          </cell>
          <cell r="B675" t="str">
            <v>VAR_cap</v>
          </cell>
          <cell r="C675" t="str">
            <v>-</v>
          </cell>
          <cell r="E675">
            <v>3.8330013305382302E-7</v>
          </cell>
          <cell r="F675">
            <v>1.2855985782198437E-3</v>
          </cell>
          <cell r="G675">
            <v>7.3530188533864329E-3</v>
          </cell>
          <cell r="H675">
            <v>7.354025210732174E-3</v>
          </cell>
          <cell r="I675">
            <v>7.3556006073767282E-3</v>
          </cell>
        </row>
        <row r="676">
          <cell r="A676" t="str">
            <v>D-RHEM_SOLELC</v>
          </cell>
          <cell r="B676" t="str">
            <v>VAR_fout</v>
          </cell>
          <cell r="C676" t="str">
            <v>ELC5</v>
          </cell>
          <cell r="D676">
            <v>0.38835172745506552</v>
          </cell>
          <cell r="E676">
            <v>0.67334689710390405</v>
          </cell>
          <cell r="F676">
            <v>0.95397924937334477</v>
          </cell>
          <cell r="G676">
            <v>1.0424526490637165</v>
          </cell>
          <cell r="H676">
            <v>1.1332725116644236</v>
          </cell>
          <cell r="I676">
            <v>1.1771445129033353</v>
          </cell>
        </row>
        <row r="677">
          <cell r="A677" t="str">
            <v>D-RHEM_SOLELC</v>
          </cell>
          <cell r="B677" t="str">
            <v>VAR_fout</v>
          </cell>
          <cell r="C677" t="str">
            <v>RHEM_ELC</v>
          </cell>
          <cell r="D677">
            <v>0.47413149833078239</v>
          </cell>
          <cell r="E677">
            <v>0.6142432915136713</v>
          </cell>
          <cell r="F677">
            <v>0.8481060343154081</v>
          </cell>
          <cell r="G677">
            <v>0.91145458492685572</v>
          </cell>
          <cell r="H677">
            <v>1.0253036179673709</v>
          </cell>
          <cell r="I677">
            <v>1.2075113969996223</v>
          </cell>
        </row>
        <row r="678">
          <cell r="A678" t="str">
            <v>D-RHEM_SOLELC</v>
          </cell>
          <cell r="B678" t="str">
            <v>VAR_fin</v>
          </cell>
          <cell r="C678" t="str">
            <v>RHEM_SOL_ELC</v>
          </cell>
          <cell r="D678">
            <v>0.86248322578584768</v>
          </cell>
          <cell r="E678">
            <v>1.287582729505639</v>
          </cell>
          <cell r="F678">
            <v>1.8020658667780145</v>
          </cell>
          <cell r="G678">
            <v>1.9538831573134183</v>
          </cell>
          <cell r="H678">
            <v>2.1585446683294394</v>
          </cell>
          <cell r="I678">
            <v>2.384624287533311</v>
          </cell>
        </row>
        <row r="679">
          <cell r="A679" t="str">
            <v>ITOT-SWHCONBR7</v>
          </cell>
          <cell r="B679" t="str">
            <v>VAR_fout</v>
          </cell>
          <cell r="C679" t="str">
            <v>ITOT-ELS</v>
          </cell>
          <cell r="E679">
            <v>5.8349028326779113E-3</v>
          </cell>
          <cell r="F679">
            <v>5.9155812080393527E-3</v>
          </cell>
          <cell r="G679">
            <v>2.9591018669134281</v>
          </cell>
          <cell r="H679">
            <v>2.9591301074570957</v>
          </cell>
          <cell r="I679">
            <v>2.9591171836274177</v>
          </cell>
        </row>
        <row r="680">
          <cell r="A680" t="str">
            <v>ITOT-SWHCONBR7</v>
          </cell>
          <cell r="B680" t="str">
            <v>VAR_fout</v>
          </cell>
          <cell r="C680" t="str">
            <v>ITOT-SWHC</v>
          </cell>
          <cell r="E680">
            <v>1.0174766505391117E-3</v>
          </cell>
          <cell r="F680">
            <v>1.0315451561316938E-3</v>
          </cell>
          <cell r="G680">
            <v>0.51600123300927458</v>
          </cell>
          <cell r="H680">
            <v>0.51600615752894585</v>
          </cell>
          <cell r="I680">
            <v>0.51600390390188311</v>
          </cell>
        </row>
        <row r="681">
          <cell r="A681" t="str">
            <v>ITOT-SWHCONBR7</v>
          </cell>
          <cell r="B681" t="str">
            <v>VAR_fin</v>
          </cell>
          <cell r="C681" t="str">
            <v>CON</v>
          </cell>
          <cell r="E681">
            <v>6.8523794832170146E-3</v>
          </cell>
          <cell r="F681">
            <v>6.9471263641710471E-3</v>
          </cell>
          <cell r="G681">
            <v>3.4751030999227028</v>
          </cell>
          <cell r="H681">
            <v>3.475136264986042</v>
          </cell>
          <cell r="I681">
            <v>3.4751210875293008</v>
          </cell>
        </row>
        <row r="682">
          <cell r="A682" t="str">
            <v>ITOT-SWHCONBR7</v>
          </cell>
          <cell r="B682" t="str">
            <v>VAR_ncap</v>
          </cell>
          <cell r="C682" t="str">
            <v>-</v>
          </cell>
          <cell r="E682">
            <v>3.7175094834864799E-4</v>
          </cell>
          <cell r="F682">
            <v>5.5699005931574699E-6</v>
          </cell>
          <cell r="G682">
            <v>0.188630299490472</v>
          </cell>
          <cell r="H682">
            <v>5.9994681466320997E-2</v>
          </cell>
          <cell r="I682">
            <v>0.14540610143480001</v>
          </cell>
        </row>
        <row r="683">
          <cell r="A683" t="str">
            <v>ITOT-SWHCONBR7</v>
          </cell>
          <cell r="B683" t="str">
            <v>VAR_cap</v>
          </cell>
          <cell r="C683" t="str">
            <v>-</v>
          </cell>
          <cell r="E683">
            <v>3.7175094834864799E-4</v>
          </cell>
          <cell r="F683">
            <v>3.7732084894180498E-4</v>
          </cell>
          <cell r="G683">
            <v>0.18900762033941401</v>
          </cell>
          <cell r="H683">
            <v>0.18902028042810701</v>
          </cell>
          <cell r="I683">
            <v>0.18902776421353301</v>
          </cell>
        </row>
        <row r="684">
          <cell r="A684" t="str">
            <v>RHNS-SHSTG-ELCHP</v>
          </cell>
          <cell r="B684" t="str">
            <v>VAR_fout</v>
          </cell>
          <cell r="C684" t="str">
            <v>RHNS-SHAELCH</v>
          </cell>
          <cell r="E684">
            <v>7.8791280184148139E-3</v>
          </cell>
          <cell r="F684">
            <v>9.2738861482982424E-2</v>
          </cell>
          <cell r="G684">
            <v>0.15809735319621687</v>
          </cell>
          <cell r="H684">
            <v>0.20481514340013113</v>
          </cell>
          <cell r="I684">
            <v>0.33242133822336972</v>
          </cell>
        </row>
        <row r="685">
          <cell r="A685" t="str">
            <v>RHNS-SHSTG-ELCHP</v>
          </cell>
          <cell r="B685" t="str">
            <v>VAR_fin</v>
          </cell>
          <cell r="C685" t="str">
            <v>RHNS-SHAELCH</v>
          </cell>
          <cell r="E685">
            <v>7.8868420756261579E-3</v>
          </cell>
          <cell r="F685">
            <v>9.2734151233562059E-2</v>
          </cell>
          <cell r="G685">
            <v>0.15809715158296173</v>
          </cell>
          <cell r="H685">
            <v>0.20485637899642423</v>
          </cell>
          <cell r="I685">
            <v>0.3324447331213421</v>
          </cell>
        </row>
        <row r="686">
          <cell r="A686" t="str">
            <v>RHNS-SHSTG-ELCHP</v>
          </cell>
          <cell r="B686" t="str">
            <v>VAR_ncap</v>
          </cell>
          <cell r="C686" t="str">
            <v>-</v>
          </cell>
          <cell r="D686">
            <v>4.52291211582599E-4</v>
          </cell>
          <cell r="E686">
            <v>1.56078560753406E-3</v>
          </cell>
          <cell r="F686">
            <v>1.11375137812E-2</v>
          </cell>
          <cell r="G686">
            <v>6.6904022330212601E-3</v>
          </cell>
          <cell r="H686">
            <v>1.5211918985838201E-2</v>
          </cell>
          <cell r="I686">
            <v>2.0456819880448101E-2</v>
          </cell>
        </row>
        <row r="687">
          <cell r="A687" t="str">
            <v>RHNS-SHSTG-ELCHP</v>
          </cell>
          <cell r="B687" t="str">
            <v>VAR_cap</v>
          </cell>
          <cell r="C687" t="str">
            <v>-</v>
          </cell>
          <cell r="D687">
            <v>4.52291211582599E-4</v>
          </cell>
          <cell r="E687">
            <v>1.9469313736738525E-3</v>
          </cell>
          <cell r="F687">
            <v>1.294529299637417E-2</v>
          </cell>
          <cell r="G687">
            <v>1.9423952044583387E-2</v>
          </cell>
          <cell r="H687">
            <v>2.7315688312701543E-2</v>
          </cell>
          <cell r="I687">
            <v>3.3718883794003937E-2</v>
          </cell>
        </row>
        <row r="688">
          <cell r="A688" t="str">
            <v>RHNS-SHSOLBR</v>
          </cell>
          <cell r="B688" t="str">
            <v>VAR_fout</v>
          </cell>
          <cell r="C688" t="str">
            <v>RHNS-SHASOL</v>
          </cell>
          <cell r="E688">
            <v>1.341593769736942E-2</v>
          </cell>
          <cell r="F688">
            <v>4.7881383560629653E-4</v>
          </cell>
          <cell r="G688">
            <v>2.4522106202152748E-3</v>
          </cell>
          <cell r="H688">
            <v>3.6819260407623317E-3</v>
          </cell>
          <cell r="I688">
            <v>5.0921113773775622E-3</v>
          </cell>
        </row>
        <row r="689">
          <cell r="A689" t="str">
            <v>RHNS-SHSOLBR</v>
          </cell>
          <cell r="B689" t="str">
            <v>VAR_fin</v>
          </cell>
          <cell r="C689" t="str">
            <v>SOL</v>
          </cell>
          <cell r="E689">
            <v>1.341593769736942E-2</v>
          </cell>
          <cell r="F689">
            <v>4.7881383560629653E-4</v>
          </cell>
          <cell r="G689">
            <v>2.4522106202152748E-3</v>
          </cell>
          <cell r="H689">
            <v>3.6819260407623317E-3</v>
          </cell>
          <cell r="I689">
            <v>5.0921113773775622E-3</v>
          </cell>
        </row>
        <row r="690">
          <cell r="A690" t="str">
            <v>RHNS-SHSOLBR</v>
          </cell>
          <cell r="B690" t="str">
            <v>VAR_ncap</v>
          </cell>
          <cell r="C690" t="str">
            <v>-</v>
          </cell>
          <cell r="E690">
            <v>3.16312334666173E-3</v>
          </cell>
          <cell r="F690">
            <v>6.4624822022359995E-5</v>
          </cell>
          <cell r="G690">
            <v>9.9682663376736801E-6</v>
          </cell>
          <cell r="H690">
            <v>1.1196452655279699E-3</v>
          </cell>
          <cell r="I690">
            <v>1.0595336528069199E-3</v>
          </cell>
        </row>
        <row r="691">
          <cell r="A691" t="str">
            <v>RHNS-SHSOLBR</v>
          </cell>
          <cell r="B691" t="str">
            <v>VAR_cap</v>
          </cell>
          <cell r="C691" t="str">
            <v>-</v>
          </cell>
          <cell r="E691">
            <v>3.16312334666173E-3</v>
          </cell>
          <cell r="F691">
            <v>3.2238701146046233E-3</v>
          </cell>
          <cell r="G691">
            <v>3.2301013488790788E-3</v>
          </cell>
          <cell r="H691">
            <v>3.0116148224658768E-3</v>
          </cell>
          <cell r="I691">
            <v>2.6617910668494493E-3</v>
          </cell>
        </row>
        <row r="692">
          <cell r="A692" t="str">
            <v>RHES-SHPLTBR</v>
          </cell>
          <cell r="B692" t="str">
            <v>VAR_fout</v>
          </cell>
          <cell r="C692" t="str">
            <v>RHES-SHPLT</v>
          </cell>
          <cell r="D692">
            <v>1.2957717175279688</v>
          </cell>
          <cell r="E692">
            <v>1.4868873969196377</v>
          </cell>
          <cell r="F692">
            <v>2.4875653068602867E-2</v>
          </cell>
          <cell r="G692">
            <v>2.1551283332329089E-2</v>
          </cell>
          <cell r="H692">
            <v>1.3063918155667334E-2</v>
          </cell>
          <cell r="I692">
            <v>6.9176455702709833E-3</v>
          </cell>
        </row>
        <row r="693">
          <cell r="A693" t="str">
            <v>RHES-SHPLTBR</v>
          </cell>
          <cell r="B693" t="str">
            <v>VAR_fin</v>
          </cell>
          <cell r="C693" t="str">
            <v>RPLT</v>
          </cell>
          <cell r="D693">
            <v>1.4397463528088541</v>
          </cell>
          <cell r="E693">
            <v>1.6520971076884865</v>
          </cell>
          <cell r="F693">
            <v>3.4747088036523426E-2</v>
          </cell>
          <cell r="G693">
            <v>2.9884504255931525E-2</v>
          </cell>
          <cell r="H693">
            <v>1.8027172468598435E-2</v>
          </cell>
          <cell r="I693">
            <v>9.0945902714749446E-3</v>
          </cell>
        </row>
        <row r="694">
          <cell r="A694" t="str">
            <v>RHES-SHPLTBR</v>
          </cell>
          <cell r="B694" t="str">
            <v>VAR_ncap</v>
          </cell>
          <cell r="C694" t="str">
            <v>-</v>
          </cell>
          <cell r="E694">
            <v>1.55154308174245E-2</v>
          </cell>
          <cell r="F694">
            <v>8.1689723438152798E-7</v>
          </cell>
          <cell r="G694">
            <v>1.64160894900122E-6</v>
          </cell>
          <cell r="H694">
            <v>1.0748187828196901E-3</v>
          </cell>
          <cell r="I694">
            <v>1.1068546457416699E-6</v>
          </cell>
        </row>
        <row r="695">
          <cell r="A695" t="str">
            <v>RHES-SHPLTBR</v>
          </cell>
          <cell r="B695" t="str">
            <v>VAR_cap</v>
          </cell>
          <cell r="C695" t="str">
            <v>-</v>
          </cell>
          <cell r="D695">
            <v>0.104681131456585</v>
          </cell>
          <cell r="E695">
            <v>0.12019615838124212</v>
          </cell>
          <cell r="F695">
            <v>3.3978192028429055E-3</v>
          </cell>
          <cell r="G695">
            <v>3.2363253640489004E-3</v>
          </cell>
          <cell r="H695">
            <v>1.1304401341661477E-3</v>
          </cell>
          <cell r="I695">
            <v>7.9896147319650178E-4</v>
          </cell>
        </row>
        <row r="696">
          <cell r="A696" t="str">
            <v>RHES-SHCONBR6</v>
          </cell>
          <cell r="B696" t="str">
            <v>VAR_fout</v>
          </cell>
          <cell r="C696" t="str">
            <v>RHES-SHCON</v>
          </cell>
          <cell r="E696">
            <v>3.5379580481307484E-3</v>
          </cell>
          <cell r="F696">
            <v>1.8353281983536946E-3</v>
          </cell>
          <cell r="G696">
            <v>2.9562302564023024E-3</v>
          </cell>
          <cell r="H696">
            <v>2.776144974924441E-3</v>
          </cell>
          <cell r="I696">
            <v>1.7801966224668725E-3</v>
          </cell>
        </row>
        <row r="697">
          <cell r="A697" t="str">
            <v>RHES-SHCONBR6</v>
          </cell>
          <cell r="B697" t="str">
            <v>VAR_fin</v>
          </cell>
          <cell r="C697" t="str">
            <v>CON</v>
          </cell>
          <cell r="E697">
            <v>3.5379580481307484E-3</v>
          </cell>
          <cell r="F697">
            <v>1.8353281983536946E-3</v>
          </cell>
          <cell r="G697">
            <v>2.9562302564023024E-3</v>
          </cell>
          <cell r="H697">
            <v>2.776144974924441E-3</v>
          </cell>
          <cell r="I697">
            <v>1.7801966224668725E-3</v>
          </cell>
        </row>
        <row r="698">
          <cell r="A698" t="str">
            <v>RHES-SHCONBR6</v>
          </cell>
          <cell r="B698" t="str">
            <v>VAR_ncap</v>
          </cell>
          <cell r="C698" t="str">
            <v>-</v>
          </cell>
          <cell r="E698">
            <v>2.9340757626441502E-4</v>
          </cell>
          <cell r="F698">
            <v>8.7297686594775605E-7</v>
          </cell>
          <cell r="G698">
            <v>9.9188463549409405E-7</v>
          </cell>
          <cell r="H698">
            <v>1.5263751183432199E-6</v>
          </cell>
          <cell r="I698">
            <v>3.8962498226115897E-6</v>
          </cell>
        </row>
        <row r="699">
          <cell r="A699" t="str">
            <v>RHES-SHCONBR6</v>
          </cell>
          <cell r="B699" t="str">
            <v>VAR_cap</v>
          </cell>
          <cell r="C699" t="str">
            <v>-</v>
          </cell>
          <cell r="E699">
            <v>2.9340757626441502E-4</v>
          </cell>
          <cell r="F699">
            <v>2.9381950049642497E-4</v>
          </cell>
          <cell r="G699">
            <v>2.9469072309568555E-4</v>
          </cell>
          <cell r="H699">
            <v>2.9797843825758486E-4</v>
          </cell>
          <cell r="I699">
            <v>1.7822136873727612E-4</v>
          </cell>
        </row>
        <row r="700">
          <cell r="A700" t="str">
            <v>RHSA-WHPLTBR</v>
          </cell>
          <cell r="B700" t="str">
            <v>VAR_fout</v>
          </cell>
          <cell r="C700" t="str">
            <v>RHSA-WHPLT</v>
          </cell>
          <cell r="D700">
            <v>0.16979959976970557</v>
          </cell>
          <cell r="E700">
            <v>0.19484007915110607</v>
          </cell>
          <cell r="F700">
            <v>3.7362205446021868E-2</v>
          </cell>
          <cell r="G700">
            <v>3.4308487175237178E-2</v>
          </cell>
          <cell r="H700">
            <v>2.2782255076875365E-2</v>
          </cell>
          <cell r="I700">
            <v>8.880500560796277E-3</v>
          </cell>
        </row>
        <row r="701">
          <cell r="A701" t="str">
            <v>RHSA-WHPLTBR</v>
          </cell>
          <cell r="B701" t="str">
            <v>VAR_fin</v>
          </cell>
          <cell r="C701" t="str">
            <v>RPLT</v>
          </cell>
          <cell r="D701">
            <v>0.27167935963152867</v>
          </cell>
          <cell r="E701">
            <v>0.31174412664177004</v>
          </cell>
          <cell r="F701">
            <v>8.4672591372781145E-2</v>
          </cell>
          <cell r="G701">
            <v>7.7083121394454057E-2</v>
          </cell>
          <cell r="H701">
            <v>4.944405908525483E-2</v>
          </cell>
          <cell r="I701">
            <v>1.7872063126093969E-2</v>
          </cell>
        </row>
        <row r="702">
          <cell r="A702" t="str">
            <v>RHSA-WHPLTBR</v>
          </cell>
          <cell r="B702" t="str">
            <v>VAR_ncap</v>
          </cell>
          <cell r="C702" t="str">
            <v>-</v>
          </cell>
          <cell r="E702">
            <v>1.8378595002057801E-3</v>
          </cell>
          <cell r="F702">
            <v>2.38180918238049E-6</v>
          </cell>
          <cell r="G702">
            <v>3.8650468504930703E-6</v>
          </cell>
          <cell r="H702">
            <v>6.3117194426200597E-4</v>
          </cell>
          <cell r="I702">
            <v>1.2246009992642499E-6</v>
          </cell>
        </row>
        <row r="703">
          <cell r="A703" t="str">
            <v>RHSA-WHPLTBR</v>
          </cell>
          <cell r="B703" t="str">
            <v>VAR_cap</v>
          </cell>
          <cell r="C703" t="str">
            <v>-</v>
          </cell>
          <cell r="D703">
            <v>1.12410901121583E-2</v>
          </cell>
          <cell r="E703">
            <v>1.3078262227440178E-2</v>
          </cell>
          <cell r="F703">
            <v>4.2204982896478106E-3</v>
          </cell>
          <cell r="G703">
            <v>4.0113376042160507E-3</v>
          </cell>
          <cell r="H703">
            <v>1.6471424655789724E-3</v>
          </cell>
          <cell r="I703">
            <v>8.6528149308400123E-4</v>
          </cell>
        </row>
        <row r="704">
          <cell r="A704" t="str">
            <v>ITOT-SWHCONBR8</v>
          </cell>
          <cell r="B704" t="str">
            <v>VAR_fout</v>
          </cell>
          <cell r="C704" t="str">
            <v>ITOT-ELS</v>
          </cell>
          <cell r="E704">
            <v>1.5513276922159689E-3</v>
          </cell>
          <cell r="F704">
            <v>1.591889469106552E-3</v>
          </cell>
          <cell r="G704">
            <v>0.94128403615819778</v>
          </cell>
          <cell r="H704">
            <v>0.94128683022117188</v>
          </cell>
          <cell r="I704">
            <v>0.94128406862620562</v>
          </cell>
        </row>
        <row r="705">
          <cell r="A705" t="str">
            <v>ITOT-SWHCONBR8</v>
          </cell>
          <cell r="B705" t="str">
            <v>VAR_fout</v>
          </cell>
          <cell r="C705" t="str">
            <v>ITOT-SWHC</v>
          </cell>
          <cell r="E705">
            <v>5.9897083842823766E-3</v>
          </cell>
          <cell r="F705">
            <v>6.146318245849317E-3</v>
          </cell>
          <cell r="G705">
            <v>3.6343171798308909</v>
          </cell>
          <cell r="H705">
            <v>3.6343279677659721</v>
          </cell>
          <cell r="I705">
            <v>3.6343173051905486</v>
          </cell>
        </row>
        <row r="706">
          <cell r="A706" t="str">
            <v>ITOT-SWHCONBR8</v>
          </cell>
          <cell r="B706" t="str">
            <v>VAR_fin</v>
          </cell>
          <cell r="C706" t="str">
            <v>CON</v>
          </cell>
          <cell r="E706">
            <v>7.541036076498352E-3</v>
          </cell>
          <cell r="F706">
            <v>7.7382077149558762E-3</v>
          </cell>
          <cell r="G706">
            <v>4.5756012159890931</v>
          </cell>
          <cell r="H706">
            <v>4.575614797987142</v>
          </cell>
          <cell r="I706">
            <v>4.5756013738167534</v>
          </cell>
        </row>
        <row r="707">
          <cell r="A707" t="str">
            <v>ITOT-SWHCONBR8</v>
          </cell>
          <cell r="B707" t="str">
            <v>VAR_ncap</v>
          </cell>
          <cell r="C707" t="str">
            <v>-</v>
          </cell>
          <cell r="E707">
            <v>4.0584955068917998E-4</v>
          </cell>
          <cell r="F707">
            <v>1.20353643992395E-5</v>
          </cell>
          <cell r="G707">
            <v>0.24843615321815399</v>
          </cell>
          <cell r="H707">
            <v>7.9156938135157298E-2</v>
          </cell>
          <cell r="I707">
            <v>0.19140064400360299</v>
          </cell>
        </row>
        <row r="708">
          <cell r="A708" t="str">
            <v>ITOT-SWHCONBR8</v>
          </cell>
          <cell r="B708" t="str">
            <v>VAR_cap</v>
          </cell>
          <cell r="C708" t="str">
            <v>-</v>
          </cell>
          <cell r="E708">
            <v>4.0584955068917998E-4</v>
          </cell>
          <cell r="F708">
            <v>4.1788491508842001E-4</v>
          </cell>
          <cell r="G708">
            <v>0.248854038133242</v>
          </cell>
          <cell r="H708">
            <v>0.24886488143200799</v>
          </cell>
          <cell r="I708">
            <v>0.24885904391114999</v>
          </cell>
        </row>
        <row r="709">
          <cell r="A709" t="str">
            <v>D-SCOM_KEV_HFC_ELC_CHP</v>
          </cell>
          <cell r="B709" t="str">
            <v>VAR_fout</v>
          </cell>
          <cell r="C709" t="str">
            <v>ELC5</v>
          </cell>
          <cell r="G709">
            <v>9.4706689603895645E-4</v>
          </cell>
          <cell r="H709">
            <v>2.3198778863202109E-3</v>
          </cell>
          <cell r="I709">
            <v>1.6001085982659792E-2</v>
          </cell>
        </row>
        <row r="710">
          <cell r="A710" t="str">
            <v>D-SCOM_KEV_HFC_ELC_CHP</v>
          </cell>
          <cell r="B710" t="str">
            <v>VAR_fout</v>
          </cell>
          <cell r="C710" t="str">
            <v>SCOM_ELC</v>
          </cell>
          <cell r="G710">
            <v>9.4677002555969758E-4</v>
          </cell>
          <cell r="H710">
            <v>2.3202034522675327E-3</v>
          </cell>
          <cell r="I710">
            <v>1.5975387631724416E-2</v>
          </cell>
        </row>
        <row r="711">
          <cell r="A711" t="str">
            <v>D-SCOM_KEV_HFC_ELC_CHP</v>
          </cell>
          <cell r="B711" t="str">
            <v>VAR_fin</v>
          </cell>
          <cell r="C711" t="str">
            <v>SCOM_KEV_HFC_ELC_CHP</v>
          </cell>
          <cell r="G711">
            <v>1.8483501743361366E-3</v>
          </cell>
          <cell r="H711">
            <v>4.6059032579968294E-3</v>
          </cell>
          <cell r="I711">
            <v>3.1906358006612387E-2</v>
          </cell>
        </row>
        <row r="712">
          <cell r="A712" t="str">
            <v>D-EH2R</v>
          </cell>
          <cell r="B712" t="str">
            <v>VAR_fout</v>
          </cell>
          <cell r="C712" t="str">
            <v>EH2</v>
          </cell>
          <cell r="H712">
            <v>1.7511000599332567E-3</v>
          </cell>
          <cell r="I712">
            <v>0.4320629398187455</v>
          </cell>
        </row>
        <row r="713">
          <cell r="A713" t="str">
            <v>D-EH2R</v>
          </cell>
          <cell r="B713" t="str">
            <v>VAR_fin</v>
          </cell>
          <cell r="C713" t="str">
            <v>H2</v>
          </cell>
          <cell r="H713">
            <v>1.7511000599332567E-3</v>
          </cell>
          <cell r="I713">
            <v>0.4320629398187455</v>
          </cell>
        </row>
        <row r="714">
          <cell r="A714" t="str">
            <v>D-EH2R</v>
          </cell>
          <cell r="B714" t="str">
            <v>VAR_ncap</v>
          </cell>
          <cell r="C714" t="str">
            <v>-</v>
          </cell>
          <cell r="H714">
            <v>2.1405739069075501E-3</v>
          </cell>
          <cell r="I714">
            <v>2.16667849244228E-2</v>
          </cell>
        </row>
        <row r="715">
          <cell r="A715" t="str">
            <v>D-EH2R</v>
          </cell>
          <cell r="B715" t="str">
            <v>VAR_cap</v>
          </cell>
          <cell r="C715" t="str">
            <v>-</v>
          </cell>
          <cell r="H715">
            <v>2.1423030316270802E-3</v>
          </cell>
          <cell r="I715">
            <v>2.23999769677652E-2</v>
          </cell>
        </row>
        <row r="716">
          <cell r="A716" t="str">
            <v>SCOM-ELCSPECADV</v>
          </cell>
          <cell r="B716" t="str">
            <v>VAR_fout</v>
          </cell>
          <cell r="C716" t="str">
            <v>SCOM-ELS</v>
          </cell>
          <cell r="F716">
            <v>6.5164086354951767</v>
          </cell>
          <cell r="G716">
            <v>14.887546635286418</v>
          </cell>
          <cell r="H716">
            <v>29.344335181498604</v>
          </cell>
          <cell r="I716">
            <v>38.85085681862089</v>
          </cell>
        </row>
        <row r="717">
          <cell r="A717" t="str">
            <v>SCOM-ELCSPECADV</v>
          </cell>
          <cell r="B717" t="str">
            <v>VAR_fin</v>
          </cell>
          <cell r="C717" t="str">
            <v>SCOM_ELC</v>
          </cell>
          <cell r="F717">
            <v>4.3442724236634538</v>
          </cell>
          <cell r="G717">
            <v>9.9250310901909415</v>
          </cell>
          <cell r="H717">
            <v>19.562890120999079</v>
          </cell>
          <cell r="I717">
            <v>25.90057121241394</v>
          </cell>
        </row>
        <row r="718">
          <cell r="A718" t="str">
            <v>SCOM-ELCSPECADV</v>
          </cell>
          <cell r="B718" t="str">
            <v>VAR_ncap</v>
          </cell>
          <cell r="C718" t="str">
            <v>-</v>
          </cell>
          <cell r="F718">
            <v>0.68877976457114498</v>
          </cell>
          <cell r="G718">
            <v>0.88482331907754797</v>
          </cell>
          <cell r="H718">
            <v>0.76430657959860104</v>
          </cell>
          <cell r="I718">
            <v>1.7094489074396</v>
          </cell>
        </row>
        <row r="719">
          <cell r="A719" t="str">
            <v>SCOM-ELCSPECADV</v>
          </cell>
          <cell r="B719" t="str">
            <v>VAR_cap</v>
          </cell>
          <cell r="C719" t="str">
            <v>-</v>
          </cell>
          <cell r="F719">
            <v>0.68877976457114498</v>
          </cell>
          <cell r="G719">
            <v>1.5736028277553238</v>
          </cell>
          <cell r="H719">
            <v>3.1016741667597274</v>
          </cell>
          <cell r="I719">
            <v>4.1065079993908542</v>
          </cell>
        </row>
        <row r="720">
          <cell r="A720" t="str">
            <v>RHSA-WHLTHRD</v>
          </cell>
          <cell r="B720" t="str">
            <v>VAR_fout</v>
          </cell>
          <cell r="C720" t="str">
            <v>RHSA-WHLTHRD</v>
          </cell>
          <cell r="D720">
            <v>1.317122048420508</v>
          </cell>
          <cell r="E720">
            <v>1.4633892832853153</v>
          </cell>
          <cell r="F720">
            <v>1.1723133857495658</v>
          </cell>
          <cell r="G720">
            <v>1.2397188470369289</v>
          </cell>
          <cell r="H720">
            <v>1.6685338713008564</v>
          </cell>
          <cell r="I720">
            <v>2.3176966314203225</v>
          </cell>
        </row>
        <row r="721">
          <cell r="A721" t="str">
            <v>RHSA-WHLTHRD</v>
          </cell>
          <cell r="B721" t="str">
            <v>VAR_fin</v>
          </cell>
          <cell r="C721" t="str">
            <v>RHSA_LTH</v>
          </cell>
          <cell r="D721">
            <v>1.7105481148318291</v>
          </cell>
          <cell r="E721">
            <v>1.8955819731675077</v>
          </cell>
          <cell r="F721">
            <v>2.1465941679903353</v>
          </cell>
          <cell r="G721">
            <v>2.2308042507518491</v>
          </cell>
          <cell r="H721">
            <v>2.8982467169268054</v>
          </cell>
          <cell r="I721">
            <v>3.9008814727027783</v>
          </cell>
        </row>
        <row r="722">
          <cell r="A722" t="str">
            <v>RHSA-WHLTHRD</v>
          </cell>
          <cell r="B722" t="str">
            <v>VAR_ncap</v>
          </cell>
          <cell r="C722" t="str">
            <v>-</v>
          </cell>
          <cell r="E722">
            <v>0.103004325458302</v>
          </cell>
          <cell r="F722">
            <v>7.1867770019207106E-2</v>
          </cell>
          <cell r="G722">
            <v>5.3694228290125198E-2</v>
          </cell>
          <cell r="H722">
            <v>8.6520425222752703E-2</v>
          </cell>
          <cell r="I722">
            <v>0.18274985941563701</v>
          </cell>
        </row>
        <row r="723">
          <cell r="A723" t="str">
            <v>RHSA-WHLTHRD</v>
          </cell>
          <cell r="B723" t="str">
            <v>VAR_cap</v>
          </cell>
          <cell r="C723" t="str">
            <v>-</v>
          </cell>
          <cell r="D723">
            <v>0.13737412127568699</v>
          </cell>
          <cell r="E723">
            <v>0.15061450098789919</v>
          </cell>
          <cell r="F723">
            <v>0.13127530793296896</v>
          </cell>
          <cell r="G723">
            <v>0.11548460906254604</v>
          </cell>
          <cell r="H723">
            <v>0.152742048432288</v>
          </cell>
          <cell r="I723">
            <v>0.26580306465329506</v>
          </cell>
        </row>
        <row r="724">
          <cell r="A724" t="str">
            <v>RHES-SHCONBR7</v>
          </cell>
          <cell r="B724" t="str">
            <v>VAR_fout</v>
          </cell>
          <cell r="C724" t="str">
            <v>RHES-SHCON</v>
          </cell>
          <cell r="E724">
            <v>3.4302147870320459E-3</v>
          </cell>
          <cell r="F724">
            <v>1.76655429776123E-3</v>
          </cell>
          <cell r="G724">
            <v>2.8420849574294399E-3</v>
          </cell>
          <cell r="H724">
            <v>2.6741692775981416E-3</v>
          </cell>
          <cell r="I724">
            <v>1.7159622803427242E-3</v>
          </cell>
        </row>
        <row r="725">
          <cell r="A725" t="str">
            <v>RHES-SHCONBR7</v>
          </cell>
          <cell r="B725" t="str">
            <v>VAR_fin</v>
          </cell>
          <cell r="C725" t="str">
            <v>CON</v>
          </cell>
          <cell r="E725">
            <v>3.4302147870320459E-3</v>
          </cell>
          <cell r="F725">
            <v>1.76655429776123E-3</v>
          </cell>
          <cell r="G725">
            <v>2.8420849574294399E-3</v>
          </cell>
          <cell r="H725">
            <v>2.6741692775981416E-3</v>
          </cell>
          <cell r="I725">
            <v>1.7159622803427242E-3</v>
          </cell>
        </row>
        <row r="726">
          <cell r="A726" t="str">
            <v>RHES-SHCONBR7</v>
          </cell>
          <cell r="B726" t="str">
            <v>VAR_ncap</v>
          </cell>
          <cell r="C726" t="str">
            <v>-</v>
          </cell>
          <cell r="E726">
            <v>2.8573252905030299E-4</v>
          </cell>
          <cell r="F726">
            <v>8.4974854086620299E-7</v>
          </cell>
          <cell r="G726">
            <v>6.8814147791425997E-7</v>
          </cell>
          <cell r="H726">
            <v>1.15859938547022E-6</v>
          </cell>
          <cell r="I726">
            <v>3.1980645127796501E-6</v>
          </cell>
        </row>
        <row r="727">
          <cell r="A727" t="str">
            <v>RHES-SHCONBR7</v>
          </cell>
          <cell r="B727" t="str">
            <v>VAR_cap</v>
          </cell>
          <cell r="C727" t="str">
            <v>-</v>
          </cell>
          <cell r="E727">
            <v>2.8573252905030299E-4</v>
          </cell>
          <cell r="F727">
            <v>2.861212342042399E-4</v>
          </cell>
          <cell r="G727">
            <v>2.8667560288986673E-4</v>
          </cell>
          <cell r="H727">
            <v>2.8955994340755601E-4</v>
          </cell>
          <cell r="I727">
            <v>1.7236934255406038E-4</v>
          </cell>
        </row>
        <row r="728">
          <cell r="A728" t="str">
            <v>ITOT-SWHCONBR9</v>
          </cell>
          <cell r="B728" t="str">
            <v>VAR_fout</v>
          </cell>
          <cell r="C728" t="str">
            <v>ITOT-ELS</v>
          </cell>
          <cell r="E728">
            <v>4.2285637083316186E-4</v>
          </cell>
          <cell r="F728">
            <v>4.4183348495045499E-4</v>
          </cell>
          <cell r="G728">
            <v>0.43074448085514067</v>
          </cell>
          <cell r="H728">
            <v>0.30050006942966834</v>
          </cell>
          <cell r="I728">
            <v>0.4306977780466672</v>
          </cell>
        </row>
        <row r="729">
          <cell r="A729" t="str">
            <v>ITOT-SWHCONBR9</v>
          </cell>
          <cell r="B729" t="str">
            <v>VAR_fout</v>
          </cell>
          <cell r="C729" t="str">
            <v>ITOT-SWHC</v>
          </cell>
          <cell r="E729">
            <v>2.4542558552399147E-3</v>
          </cell>
          <cell r="F729">
            <v>2.5643989124348584E-3</v>
          </cell>
          <cell r="G729">
            <v>2.5000383987784556</v>
          </cell>
          <cell r="H729">
            <v>1.7441006113840671</v>
          </cell>
          <cell r="I729">
            <v>2.4997673359565185</v>
          </cell>
        </row>
        <row r="730">
          <cell r="A730" t="str">
            <v>ITOT-SWHCONBR9</v>
          </cell>
          <cell r="B730" t="str">
            <v>VAR_fin</v>
          </cell>
          <cell r="C730" t="str">
            <v>CON</v>
          </cell>
          <cell r="E730">
            <v>2.8771122260730776E-3</v>
          </cell>
          <cell r="F730">
            <v>3.0062323973853149E-3</v>
          </cell>
          <cell r="G730">
            <v>2.9307828796335951</v>
          </cell>
          <cell r="H730">
            <v>2.0446006808137338</v>
          </cell>
          <cell r="I730">
            <v>2.9304651140031859</v>
          </cell>
        </row>
        <row r="731">
          <cell r="A731" t="str">
            <v>ITOT-SWHCONBR9</v>
          </cell>
          <cell r="B731" t="str">
            <v>VAR_ncap</v>
          </cell>
          <cell r="C731" t="str">
            <v>-</v>
          </cell>
          <cell r="E731">
            <v>1.5213797754532E-4</v>
          </cell>
          <cell r="F731">
            <v>8.4454611262042303E-6</v>
          </cell>
          <cell r="G731">
            <v>0.15923229034158001</v>
          </cell>
          <cell r="H731">
            <v>2.4462476228643802E-3</v>
          </cell>
          <cell r="I731">
            <v>0.157601001606828</v>
          </cell>
        </row>
        <row r="732">
          <cell r="A732" t="str">
            <v>ITOT-SWHCONBR9</v>
          </cell>
          <cell r="B732" t="str">
            <v>VAR_cap</v>
          </cell>
          <cell r="C732" t="str">
            <v>-</v>
          </cell>
          <cell r="E732">
            <v>1.5213797754532E-4</v>
          </cell>
          <cell r="F732">
            <v>1.60583438671524E-4</v>
          </cell>
          <cell r="G732">
            <v>0.15939287378025199</v>
          </cell>
          <cell r="H732">
            <v>0.111206367681791</v>
          </cell>
          <cell r="I732">
            <v>0.159378503862525</v>
          </cell>
        </row>
        <row r="733">
          <cell r="A733" t="str">
            <v>SCOM-SHPLTBR</v>
          </cell>
          <cell r="B733" t="str">
            <v>VAR_fout</v>
          </cell>
          <cell r="C733" t="str">
            <v>SCOM-SHPLT</v>
          </cell>
          <cell r="D733">
            <v>1.8770823671121519</v>
          </cell>
          <cell r="E733">
            <v>2.1600892324823331</v>
          </cell>
          <cell r="F733">
            <v>0.18843232166549301</v>
          </cell>
          <cell r="G733">
            <v>0.16724020938151879</v>
          </cell>
          <cell r="H733">
            <v>8.6762048108621204E-2</v>
          </cell>
          <cell r="I733">
            <v>3.0216269315554163E-2</v>
          </cell>
        </row>
        <row r="734">
          <cell r="A734" t="str">
            <v>SCOM-SHPLTBR</v>
          </cell>
          <cell r="B734" t="str">
            <v>VAR_fin</v>
          </cell>
          <cell r="C734" t="str">
            <v>SCOMPLTBRC</v>
          </cell>
          <cell r="D734">
            <v>1.8770823671121519</v>
          </cell>
          <cell r="E734">
            <v>2.1600892324823331</v>
          </cell>
          <cell r="F734">
            <v>0.18843232166549301</v>
          </cell>
          <cell r="G734">
            <v>0.16724020938151879</v>
          </cell>
          <cell r="H734">
            <v>8.6762048108621204E-2</v>
          </cell>
          <cell r="I734">
            <v>3.0216269315554163E-2</v>
          </cell>
        </row>
        <row r="735">
          <cell r="A735" t="str">
            <v>SCOM-SHPLTBR</v>
          </cell>
          <cell r="B735" t="str">
            <v>VAR_fin</v>
          </cell>
          <cell r="C735" t="str">
            <v>SPLT</v>
          </cell>
          <cell r="D735">
            <v>2.0856470745690583</v>
          </cell>
          <cell r="E735">
            <v>2.4000991472025941</v>
          </cell>
          <cell r="F735">
            <v>0.28622917462676073</v>
          </cell>
          <cell r="G735">
            <v>0.25403830230705515</v>
          </cell>
          <cell r="H735">
            <v>0.13179177117577084</v>
          </cell>
          <cell r="I735">
            <v>4.3585786571909327E-2</v>
          </cell>
        </row>
        <row r="736">
          <cell r="A736" t="str">
            <v>SCOM-SHPLTBR</v>
          </cell>
          <cell r="B736" t="str">
            <v>VAR_ncap</v>
          </cell>
          <cell r="C736" t="str">
            <v>-</v>
          </cell>
          <cell r="D736">
            <v>1.5614465005397301E-4</v>
          </cell>
          <cell r="E736">
            <v>2.4359521417006601E-2</v>
          </cell>
          <cell r="F736">
            <v>6.3161584641601704E-6</v>
          </cell>
          <cell r="G736">
            <v>8.4757932271904201E-6</v>
          </cell>
          <cell r="H736">
            <v>3.2148925182374998E-3</v>
          </cell>
          <cell r="I736">
            <v>2.78154351207431E-6</v>
          </cell>
        </row>
        <row r="737">
          <cell r="A737" t="str">
            <v>SCOM-SHPLTBR</v>
          </cell>
          <cell r="B737" t="str">
            <v>VAR_cap</v>
          </cell>
          <cell r="C737" t="str">
            <v>-</v>
          </cell>
          <cell r="D737">
            <v>0.15066701277424799</v>
          </cell>
          <cell r="E737">
            <v>0.17502512857592883</v>
          </cell>
          <cell r="F737">
            <v>2.3849816063671703E-2</v>
          </cell>
          <cell r="G737">
            <v>2.3534697720947906E-2</v>
          </cell>
          <cell r="H737">
            <v>7.2275645316437825E-3</v>
          </cell>
          <cell r="I737">
            <v>3.9386339998168938E-3</v>
          </cell>
        </row>
        <row r="738">
          <cell r="A738" t="str">
            <v>ITOT-SWHELCHP</v>
          </cell>
          <cell r="B738" t="str">
            <v>VAR_fout</v>
          </cell>
          <cell r="C738" t="str">
            <v>ITOT-SWHAELCH</v>
          </cell>
          <cell r="D738">
            <v>1.1083451893270853</v>
          </cell>
          <cell r="E738">
            <v>1.4008416773116621</v>
          </cell>
          <cell r="F738">
            <v>3.3487247944254062</v>
          </cell>
          <cell r="G738">
            <v>4.5363656319100052</v>
          </cell>
          <cell r="H738">
            <v>4.5363770955626155</v>
          </cell>
          <cell r="I738">
            <v>4.9458397416121844</v>
          </cell>
        </row>
        <row r="739">
          <cell r="A739" t="str">
            <v>ITOT-SWHELCHP</v>
          </cell>
          <cell r="B739" t="str">
            <v>VAR_fin</v>
          </cell>
          <cell r="C739" t="str">
            <v>ITOT_ELC</v>
          </cell>
          <cell r="D739">
            <v>0.35973785086705651</v>
          </cell>
          <cell r="E739">
            <v>0.45107865788222445</v>
          </cell>
          <cell r="F739">
            <v>1.0656673624345723</v>
          </cell>
          <cell r="G739">
            <v>1.4159475755017958</v>
          </cell>
          <cell r="H739">
            <v>1.36368694955154</v>
          </cell>
          <cell r="I739">
            <v>1.4338512009280242</v>
          </cell>
        </row>
        <row r="740">
          <cell r="A740" t="str">
            <v>ITOT-SWHELCHP</v>
          </cell>
          <cell r="B740" t="str">
            <v>VAR_fin</v>
          </cell>
          <cell r="C740" t="str">
            <v>ITOTELCHPC</v>
          </cell>
          <cell r="D740">
            <v>1.1083451893270853</v>
          </cell>
          <cell r="E740">
            <v>1.4008416773116621</v>
          </cell>
          <cell r="F740">
            <v>3.3487247944254062</v>
          </cell>
          <cell r="G740">
            <v>4.5363656319100052</v>
          </cell>
          <cell r="H740">
            <v>4.5363770955626155</v>
          </cell>
          <cell r="I740">
            <v>4.9458397416121844</v>
          </cell>
        </row>
        <row r="741">
          <cell r="A741" t="str">
            <v>ITOT-SWHELCHP</v>
          </cell>
          <cell r="B741" t="str">
            <v>VAR_ncap</v>
          </cell>
          <cell r="C741" t="str">
            <v>-</v>
          </cell>
          <cell r="E741">
            <v>1.7990011922882E-2</v>
          </cell>
          <cell r="F741">
            <v>0.105699233548812</v>
          </cell>
          <cell r="G741">
            <v>6.6076734963578895E-2</v>
          </cell>
          <cell r="H741">
            <v>0.13487224117712501</v>
          </cell>
          <cell r="I741">
            <v>0.15499219679453999</v>
          </cell>
        </row>
        <row r="742">
          <cell r="A742" t="str">
            <v>ITOT-SWHELCHP</v>
          </cell>
          <cell r="B742" t="str">
            <v>VAR_cap</v>
          </cell>
          <cell r="C742" t="str">
            <v>-</v>
          </cell>
          <cell r="D742">
            <v>6.02631234918991E-2</v>
          </cell>
          <cell r="E742">
            <v>7.8250138014376761E-2</v>
          </cell>
          <cell r="F742">
            <v>0.18394227961739248</v>
          </cell>
          <cell r="G742">
            <v>0.25000918457857935</v>
          </cell>
          <cell r="H742">
            <v>0.25024538813411035</v>
          </cell>
          <cell r="I742">
            <v>0.27464448375520245</v>
          </cell>
        </row>
        <row r="743">
          <cell r="A743" t="str">
            <v>RHES-SHCONBR8</v>
          </cell>
          <cell r="B743" t="str">
            <v>VAR_fout</v>
          </cell>
          <cell r="C743" t="str">
            <v>RHES-SHCON</v>
          </cell>
          <cell r="E743">
            <v>9.4145567630423885E-4</v>
          </cell>
          <cell r="F743">
            <v>5.3390410766344779E-4</v>
          </cell>
          <cell r="G743">
            <v>6.7575328901089786E-4</v>
          </cell>
          <cell r="H743">
            <v>6.5598019928271524E-4</v>
          </cell>
          <cell r="I743">
            <v>4.3649792725133051E-4</v>
          </cell>
        </row>
        <row r="744">
          <cell r="A744" t="str">
            <v>RHES-SHCONBR8</v>
          </cell>
          <cell r="B744" t="str">
            <v>VAR_fin</v>
          </cell>
          <cell r="C744" t="str">
            <v>CON</v>
          </cell>
          <cell r="E744">
            <v>9.4145567630423885E-4</v>
          </cell>
          <cell r="F744">
            <v>5.3390410766344779E-4</v>
          </cell>
          <cell r="G744">
            <v>6.7575328901089786E-4</v>
          </cell>
          <cell r="H744">
            <v>6.5598019928271524E-4</v>
          </cell>
          <cell r="I744">
            <v>4.3649792725133051E-4</v>
          </cell>
        </row>
        <row r="745">
          <cell r="A745" t="str">
            <v>RHES-SHCONBR8</v>
          </cell>
          <cell r="B745" t="str">
            <v>VAR_ncap</v>
          </cell>
          <cell r="C745" t="str">
            <v>-</v>
          </cell>
          <cell r="E745">
            <v>7.7497366682780297E-5</v>
          </cell>
          <cell r="F745">
            <v>8.6945842059706298E-7</v>
          </cell>
          <cell r="G745">
            <v>3.83938598133184E-7</v>
          </cell>
          <cell r="H745">
            <v>5.7570003005453595E-7</v>
          </cell>
          <cell r="I745">
            <v>6.8984324056465396E-7</v>
          </cell>
        </row>
        <row r="746">
          <cell r="A746" t="str">
            <v>RHES-SHCONBR8</v>
          </cell>
          <cell r="B746" t="str">
            <v>VAR_cap</v>
          </cell>
          <cell r="C746" t="str">
            <v>-</v>
          </cell>
          <cell r="E746">
            <v>7.7497366682780297E-5</v>
          </cell>
          <cell r="F746">
            <v>7.8181600436341342E-5</v>
          </cell>
          <cell r="G746">
            <v>7.8445658488109362E-5</v>
          </cell>
          <cell r="H746">
            <v>8.1932007292775976E-5</v>
          </cell>
          <cell r="I746">
            <v>4.9904771501587552E-5</v>
          </cell>
        </row>
        <row r="747">
          <cell r="A747" t="str">
            <v>RHEM-SHWODBR</v>
          </cell>
          <cell r="B747" t="str">
            <v>VAR_fout</v>
          </cell>
          <cell r="C747" t="str">
            <v>RHEM-SHWOD</v>
          </cell>
          <cell r="D747">
            <v>4.7439318374187618</v>
          </cell>
          <cell r="E747">
            <v>4.746298221589436</v>
          </cell>
          <cell r="F747">
            <v>4.7645070810181123</v>
          </cell>
          <cell r="G747">
            <v>3.9296820794865304</v>
          </cell>
          <cell r="H747">
            <v>2.2383895837188117</v>
          </cell>
          <cell r="I747">
            <v>0.95723200979671574</v>
          </cell>
        </row>
        <row r="748">
          <cell r="A748" t="str">
            <v>RHEM-SHWODBR</v>
          </cell>
          <cell r="B748" t="str">
            <v>VAR_fin</v>
          </cell>
          <cell r="C748" t="str">
            <v>RHEMWODBRC</v>
          </cell>
          <cell r="D748">
            <v>4.7439318374187618</v>
          </cell>
          <cell r="E748">
            <v>4.746298221589436</v>
          </cell>
          <cell r="F748">
            <v>4.7645070810181123</v>
          </cell>
          <cell r="G748">
            <v>3.9296820794865304</v>
          </cell>
          <cell r="H748">
            <v>2.2383895837188117</v>
          </cell>
          <cell r="I748">
            <v>0.95723200979671574</v>
          </cell>
        </row>
        <row r="749">
          <cell r="A749" t="str">
            <v>RHEM-SHWODBR</v>
          </cell>
          <cell r="B749" t="str">
            <v>VAR_fin</v>
          </cell>
          <cell r="C749" t="str">
            <v>RWOD</v>
          </cell>
          <cell r="D749">
            <v>6.588794218637176</v>
          </cell>
          <cell r="E749">
            <v>6.5920808633186638</v>
          </cell>
          <cell r="F749">
            <v>6.6531759637929282</v>
          </cell>
          <cell r="G749">
            <v>5.4588614493819856</v>
          </cell>
          <cell r="H749">
            <v>3.1094267577130319</v>
          </cell>
          <cell r="I749">
            <v>1.2734505358265304</v>
          </cell>
        </row>
        <row r="750">
          <cell r="A750" t="str">
            <v>RHEM-SHWODBR</v>
          </cell>
          <cell r="B750" t="str">
            <v>VAR_ncap</v>
          </cell>
          <cell r="C750" t="str">
            <v>-</v>
          </cell>
          <cell r="D750">
            <v>1.52494586825665E-4</v>
          </cell>
          <cell r="E750">
            <v>4.5284412395069101E-4</v>
          </cell>
          <cell r="F750">
            <v>1.2243228917023399E-3</v>
          </cell>
          <cell r="G750">
            <v>5.2540626446714403E-6</v>
          </cell>
          <cell r="H750">
            <v>2.5735812461252599E-2</v>
          </cell>
          <cell r="I750">
            <v>9.2928440870138504E-6</v>
          </cell>
        </row>
        <row r="751">
          <cell r="A751" t="str">
            <v>RHEM-SHWODBR</v>
          </cell>
          <cell r="B751" t="str">
            <v>VAR_cap</v>
          </cell>
          <cell r="C751" t="str">
            <v>-</v>
          </cell>
          <cell r="D751">
            <v>0.33522427354181866</v>
          </cell>
          <cell r="E751">
            <v>0.3356758745635347</v>
          </cell>
          <cell r="F751">
            <v>0.33689474036644418</v>
          </cell>
          <cell r="G751">
            <v>0.33678977163191298</v>
          </cell>
          <cell r="H751">
            <v>0.15849042529367299</v>
          </cell>
          <cell r="I751">
            <v>7.4728237809929668E-2</v>
          </cell>
        </row>
        <row r="752">
          <cell r="A752" t="str">
            <v>RHES-SHCONBR9</v>
          </cell>
          <cell r="B752" t="str">
            <v>VAR_fout</v>
          </cell>
          <cell r="C752" t="str">
            <v>RHES-SHCON</v>
          </cell>
          <cell r="E752">
            <v>2.7812927413604205E-4</v>
          </cell>
          <cell r="F752">
            <v>1.9336397461273405E-4</v>
          </cell>
          <cell r="G752">
            <v>1.8636296807179439E-4</v>
          </cell>
          <cell r="H752">
            <v>1.9767471607902418E-4</v>
          </cell>
          <cell r="I752">
            <v>1.337264338911873E-4</v>
          </cell>
        </row>
        <row r="753">
          <cell r="A753" t="str">
            <v>RHES-SHCONBR9</v>
          </cell>
          <cell r="B753" t="str">
            <v>VAR_fin</v>
          </cell>
          <cell r="C753" t="str">
            <v>CON</v>
          </cell>
          <cell r="E753">
            <v>2.7812927413604205E-4</v>
          </cell>
          <cell r="F753">
            <v>1.9336397461273405E-4</v>
          </cell>
          <cell r="G753">
            <v>1.8636296807179439E-4</v>
          </cell>
          <cell r="H753">
            <v>1.9767471607902418E-4</v>
          </cell>
          <cell r="I753">
            <v>1.337264338911873E-4</v>
          </cell>
        </row>
        <row r="754">
          <cell r="A754" t="str">
            <v>RHES-SHCONBR9</v>
          </cell>
          <cell r="B754" t="str">
            <v>VAR_ncap</v>
          </cell>
          <cell r="C754" t="str">
            <v>-</v>
          </cell>
          <cell r="E754">
            <v>1.8251899917798201E-5</v>
          </cell>
          <cell r="F754">
            <v>7.7288297445297502E-7</v>
          </cell>
          <cell r="G754">
            <v>1.5405538865842599E-7</v>
          </cell>
          <cell r="H754">
            <v>3.3880747241405002E-7</v>
          </cell>
          <cell r="I754">
            <v>3.10468189532163E-7</v>
          </cell>
        </row>
        <row r="755">
          <cell r="A755" t="str">
            <v>RHES-SHCONBR9</v>
          </cell>
          <cell r="B755" t="str">
            <v>VAR_cap</v>
          </cell>
          <cell r="C755" t="str">
            <v>-</v>
          </cell>
          <cell r="E755">
            <v>1.8251899917798201E-5</v>
          </cell>
          <cell r="F755">
            <v>1.8943233014892339E-5</v>
          </cell>
          <cell r="G755">
            <v>1.9043901827994884E-5</v>
          </cell>
          <cell r="H755">
            <v>2.0537211657529949E-5</v>
          </cell>
          <cell r="I755">
            <v>1.3052405716570555E-5</v>
          </cell>
        </row>
        <row r="756">
          <cell r="A756" t="str">
            <v>D-RHNS_LTH_CHPNGA</v>
          </cell>
          <cell r="B756" t="str">
            <v>VAR_fout</v>
          </cell>
          <cell r="C756" t="str">
            <v>RHSA_LTH</v>
          </cell>
          <cell r="D756">
            <v>7.656922043686389E-5</v>
          </cell>
          <cell r="E756">
            <v>3.9389370145972188E-4</v>
          </cell>
          <cell r="F756">
            <v>3.9629953761793155E-3</v>
          </cell>
          <cell r="G756">
            <v>-4.5566811347508435E-5</v>
          </cell>
          <cell r="H756">
            <v>1.747078379450679E-2</v>
          </cell>
          <cell r="I756">
            <v>4.9127920420470759E-3</v>
          </cell>
        </row>
        <row r="757">
          <cell r="A757" t="str">
            <v>D-RHNS_LTH_CHPNGA</v>
          </cell>
          <cell r="B757" t="str">
            <v>VAR_fout</v>
          </cell>
          <cell r="C757" t="str">
            <v>LTH</v>
          </cell>
          <cell r="F757">
            <v>4.8389980709116062E-7</v>
          </cell>
          <cell r="H757">
            <v>2.8012986833649325E-5</v>
          </cell>
          <cell r="I757">
            <v>4.4866533740443417E-5</v>
          </cell>
        </row>
        <row r="758">
          <cell r="A758" t="str">
            <v>D-RHNS_LTH_CHPNGA</v>
          </cell>
          <cell r="B758" t="str">
            <v>VAR_fout</v>
          </cell>
          <cell r="C758" t="str">
            <v>RHNS_LTH_CHPNGA_ON</v>
          </cell>
          <cell r="D758">
            <v>4.8326175961729092E-5</v>
          </cell>
          <cell r="E758">
            <v>9.519209497427097E-4</v>
          </cell>
          <cell r="F758">
            <v>6.0075698505572582E-4</v>
          </cell>
          <cell r="G758">
            <v>-1.8299763377840038E-5</v>
          </cell>
          <cell r="H758">
            <v>4.0652502550641446E-3</v>
          </cell>
          <cell r="I758">
            <v>1.8877600769279249E-2</v>
          </cell>
        </row>
        <row r="759">
          <cell r="A759" t="str">
            <v>D-RHNS_LTH_CHPNGA</v>
          </cell>
          <cell r="B759" t="str">
            <v>VAR_fin</v>
          </cell>
          <cell r="C759" t="str">
            <v>RHNS_LTH_CHPNGA</v>
          </cell>
          <cell r="D759">
            <v>1.2489539639859304E-4</v>
          </cell>
          <cell r="E759">
            <v>1.3469110983613526E-3</v>
          </cell>
          <cell r="F759">
            <v>4.5657076377732609E-3</v>
          </cell>
          <cell r="G759">
            <v>-6.3369595694326829E-5</v>
          </cell>
          <cell r="H759">
            <v>2.156404703640458E-2</v>
          </cell>
          <cell r="I759">
            <v>2.3835259345066785E-2</v>
          </cell>
        </row>
        <row r="760">
          <cell r="A760" t="str">
            <v>D-SLFO</v>
          </cell>
          <cell r="B760" t="str">
            <v>VAR_fout</v>
          </cell>
          <cell r="C760" t="str">
            <v>CO2</v>
          </cell>
          <cell r="D760">
            <v>2267.7898205700799</v>
          </cell>
          <cell r="E760">
            <v>2086.9216849924601</v>
          </cell>
          <cell r="F760">
            <v>1827.38071846405</v>
          </cell>
          <cell r="G760">
            <v>915.64795641270098</v>
          </cell>
          <cell r="H760">
            <v>172.35154284727301</v>
          </cell>
          <cell r="I760">
            <v>8.9563674578452303E-3</v>
          </cell>
        </row>
        <row r="761">
          <cell r="A761" t="str">
            <v>D-SLFO</v>
          </cell>
          <cell r="B761" t="str">
            <v>VAR_fout</v>
          </cell>
          <cell r="C761" t="str">
            <v>SLFO</v>
          </cell>
          <cell r="D761">
            <v>30.256649765192773</v>
          </cell>
          <cell r="E761">
            <v>27.843523212539019</v>
          </cell>
          <cell r="F761">
            <v>24.383136819351353</v>
          </cell>
          <cell r="G761">
            <v>12.221450195201431</v>
          </cell>
          <cell r="H761">
            <v>2.3038032459509425</v>
          </cell>
          <cell r="I761">
            <v>7.6736228021684588E-2</v>
          </cell>
        </row>
        <row r="762">
          <cell r="A762" t="str">
            <v>D-SLFO</v>
          </cell>
          <cell r="B762" t="str">
            <v>VAR_fin</v>
          </cell>
          <cell r="C762" t="str">
            <v>LFO</v>
          </cell>
          <cell r="D762">
            <v>30.77055387476365</v>
          </cell>
          <cell r="E762">
            <v>28.316440773303338</v>
          </cell>
          <cell r="F762">
            <v>24.794853710502739</v>
          </cell>
          <cell r="G762">
            <v>12.423988553767998</v>
          </cell>
          <cell r="H762">
            <v>2.3385555338843047</v>
          </cell>
          <cell r="I762">
            <v>1.215246602149962E-4</v>
          </cell>
        </row>
        <row r="763">
          <cell r="A763" t="str">
            <v>D-SLFO</v>
          </cell>
          <cell r="B763" t="str">
            <v>VAR_fin</v>
          </cell>
          <cell r="C763" t="str">
            <v>BDS</v>
          </cell>
          <cell r="F763">
            <v>2.4323497392875751E-3</v>
          </cell>
          <cell r="G763">
            <v>5.0646743848076414E-3</v>
          </cell>
          <cell r="H763">
            <v>4.4123056157242191E-3</v>
          </cell>
          <cell r="I763">
            <v>7.7967852243307365E-2</v>
          </cell>
        </row>
        <row r="764">
          <cell r="A764" t="str">
            <v>D-RCOA</v>
          </cell>
          <cell r="B764" t="str">
            <v>VAR_fout</v>
          </cell>
          <cell r="C764" t="str">
            <v>CO2</v>
          </cell>
          <cell r="D764">
            <v>9.2704595072800799</v>
          </cell>
          <cell r="E764">
            <v>9.2697133600879997</v>
          </cell>
          <cell r="F764">
            <v>2.4016128343345802</v>
          </cell>
        </row>
        <row r="765">
          <cell r="A765" t="str">
            <v>D-RCOA</v>
          </cell>
          <cell r="B765" t="str">
            <v>VAR_fout</v>
          </cell>
          <cell r="C765" t="str">
            <v>RCOA</v>
          </cell>
          <cell r="D765">
            <v>0.10000495692858771</v>
          </cell>
          <cell r="E765">
            <v>9.9996907875814334E-2</v>
          </cell>
          <cell r="F765">
            <v>2.5907366066176715E-2</v>
          </cell>
        </row>
        <row r="766">
          <cell r="A766" t="str">
            <v>D-RCOA</v>
          </cell>
          <cell r="B766" t="str">
            <v>VAR_fin</v>
          </cell>
          <cell r="C766" t="str">
            <v>COA</v>
          </cell>
          <cell r="D766">
            <v>0.10000495692858771</v>
          </cell>
          <cell r="E766">
            <v>9.9996907875814334E-2</v>
          </cell>
          <cell r="F766">
            <v>2.5907366066176715E-2</v>
          </cell>
        </row>
        <row r="767">
          <cell r="A767" t="str">
            <v>D-RHEM_KEV_WOD_ELC_CHP</v>
          </cell>
          <cell r="B767" t="str">
            <v>VAR_fout</v>
          </cell>
          <cell r="C767" t="str">
            <v>ELC5</v>
          </cell>
          <cell r="G767">
            <v>9.660132596560775E-4</v>
          </cell>
          <cell r="H767">
            <v>1.1509600508437825E-2</v>
          </cell>
          <cell r="I767">
            <v>5.2633768101544567E-3</v>
          </cell>
        </row>
        <row r="768">
          <cell r="A768" t="str">
            <v>D-RHEM_KEV_WOD_ELC_CHP</v>
          </cell>
          <cell r="B768" t="str">
            <v>VAR_fout</v>
          </cell>
          <cell r="C768" t="str">
            <v>RHEM_ELC</v>
          </cell>
          <cell r="G768">
            <v>9.6502040248436444E-4</v>
          </cell>
          <cell r="H768">
            <v>1.14847465181502E-2</v>
          </cell>
          <cell r="I768">
            <v>5.2572625715803459E-3</v>
          </cell>
        </row>
        <row r="769">
          <cell r="A769" t="str">
            <v>D-RHEM_KEV_WOD_ELC_CHP</v>
          </cell>
          <cell r="B769" t="str">
            <v>VAR_fin</v>
          </cell>
          <cell r="C769" t="str">
            <v>RHEM_KEV_WOD_ELC_CHP</v>
          </cell>
          <cell r="G769">
            <v>1.8980208968145899E-3</v>
          </cell>
          <cell r="H769">
            <v>2.2961954043147114E-2</v>
          </cell>
          <cell r="I769">
            <v>1.0500230234204639E-2</v>
          </cell>
        </row>
        <row r="770">
          <cell r="A770" t="str">
            <v>RHES-SHSTG-SOL</v>
          </cell>
          <cell r="B770" t="str">
            <v>VAR_fout</v>
          </cell>
          <cell r="C770" t="str">
            <v>RHES-SHASOL</v>
          </cell>
          <cell r="D770">
            <v>9.4932595320489213E-5</v>
          </cell>
          <cell r="E770">
            <v>2.4627336715261518E-5</v>
          </cell>
          <cell r="F770">
            <v>8.605965802538135E-3</v>
          </cell>
          <cell r="G770">
            <v>1.2782646796148491E-2</v>
          </cell>
          <cell r="H770">
            <v>6.5279391784138002E-3</v>
          </cell>
          <cell r="I770">
            <v>6.9097283322463628E-3</v>
          </cell>
        </row>
        <row r="771">
          <cell r="A771" t="str">
            <v>RHES-SHSTG-SOL</v>
          </cell>
          <cell r="B771" t="str">
            <v>VAR_fin</v>
          </cell>
          <cell r="C771" t="str">
            <v>RHES-SHASOL</v>
          </cell>
          <cell r="D771">
            <v>1.9438696650022511E-6</v>
          </cell>
          <cell r="E771">
            <v>1.9531405495735778E-5</v>
          </cell>
          <cell r="F771">
            <v>8.5967550072130298E-3</v>
          </cell>
          <cell r="G771">
            <v>1.2766252682926551E-2</v>
          </cell>
          <cell r="H771">
            <v>6.5226594172156475E-3</v>
          </cell>
          <cell r="I771">
            <v>6.9074984879709291E-3</v>
          </cell>
        </row>
        <row r="772">
          <cell r="A772" t="str">
            <v>RHES-SHSTG-SOL</v>
          </cell>
          <cell r="B772" t="str">
            <v>VAR_ncap</v>
          </cell>
          <cell r="C772" t="str">
            <v>-</v>
          </cell>
          <cell r="D772">
            <v>1.1159753676225801E-2</v>
          </cell>
          <cell r="E772">
            <v>4.6828390502211303E-5</v>
          </cell>
          <cell r="F772">
            <v>2.3378573580106999E-6</v>
          </cell>
          <cell r="G772">
            <v>1.3743389345298E-6</v>
          </cell>
          <cell r="H772">
            <v>9.6012567584270302E-4</v>
          </cell>
          <cell r="I772">
            <v>5.4643608629443099E-4</v>
          </cell>
        </row>
        <row r="773">
          <cell r="A773" t="str">
            <v>RHES-SHSTG-SOL</v>
          </cell>
          <cell r="B773" t="str">
            <v>VAR_cap</v>
          </cell>
          <cell r="C773" t="str">
            <v>-</v>
          </cell>
          <cell r="D773">
            <v>1.1159753676225801E-2</v>
          </cell>
          <cell r="E773">
            <v>1.1206582066728E-2</v>
          </cell>
          <cell r="F773">
            <v>1.1208919924086E-2</v>
          </cell>
          <cell r="G773">
            <v>1.12102942630205E-2</v>
          </cell>
          <cell r="H773">
            <v>1.33443486765739E-3</v>
          </cell>
          <cell r="I773">
            <v>1.4009900604907001E-3</v>
          </cell>
        </row>
        <row r="774">
          <cell r="A774" t="str">
            <v>D-ITOT_LTH</v>
          </cell>
          <cell r="B774" t="str">
            <v>VAR_fout</v>
          </cell>
          <cell r="C774" t="str">
            <v>ITOT_LTH_DH</v>
          </cell>
          <cell r="D774">
            <v>7.1200673109833792</v>
          </cell>
          <cell r="E774">
            <v>7.6289164632415227</v>
          </cell>
          <cell r="F774">
            <v>7.2954875400158619</v>
          </cell>
          <cell r="G774">
            <v>5.9248680107740039</v>
          </cell>
          <cell r="H774">
            <v>5.1952321894646909</v>
          </cell>
          <cell r="I774">
            <v>7.414873283812903</v>
          </cell>
        </row>
        <row r="775">
          <cell r="A775" t="str">
            <v>D-ITOT_LTH</v>
          </cell>
          <cell r="B775" t="str">
            <v>VAR_fin</v>
          </cell>
          <cell r="C775" t="str">
            <v>LTH</v>
          </cell>
          <cell r="D775">
            <v>7.7404088660493571</v>
          </cell>
          <cell r="E775">
            <v>8.2914122511698594</v>
          </cell>
          <cell r="F775">
            <v>7.925903795427681</v>
          </cell>
          <cell r="G775">
            <v>6.4326217955990126</v>
          </cell>
          <cell r="H775">
            <v>5.6330626846491638</v>
          </cell>
          <cell r="I775">
            <v>8.0292390077835396</v>
          </cell>
        </row>
        <row r="776">
          <cell r="A776" t="str">
            <v>D-ITOT_LTH</v>
          </cell>
          <cell r="B776" t="str">
            <v>VAR_ncap</v>
          </cell>
          <cell r="C776" t="str">
            <v>-</v>
          </cell>
          <cell r="D776">
            <v>0.79547399791232498</v>
          </cell>
          <cell r="E776">
            <v>1.1510377557823901E-6</v>
          </cell>
          <cell r="F776">
            <v>1.30902555036193E-6</v>
          </cell>
          <cell r="G776">
            <v>1.1938045210098001E-6</v>
          </cell>
          <cell r="H776">
            <v>1.3688679905633299E-6</v>
          </cell>
          <cell r="I776">
            <v>2.0470920844743799E-6</v>
          </cell>
        </row>
        <row r="777">
          <cell r="A777" t="str">
            <v>D-ITOT_LTH</v>
          </cell>
          <cell r="B777" t="str">
            <v>VAR_cap</v>
          </cell>
          <cell r="C777" t="str">
            <v>-</v>
          </cell>
          <cell r="D777">
            <v>0.79547399791232498</v>
          </cell>
          <cell r="E777">
            <v>0.79547514895008098</v>
          </cell>
          <cell r="F777">
            <v>0.79547645797563105</v>
          </cell>
          <cell r="G777">
            <v>0.79547765178015195</v>
          </cell>
          <cell r="H777">
            <v>0.79548124462993297</v>
          </cell>
          <cell r="I777">
            <v>0.79548329172201804</v>
          </cell>
        </row>
        <row r="778">
          <cell r="A778" t="str">
            <v>D-IH2</v>
          </cell>
          <cell r="B778" t="str">
            <v>VAR_fout</v>
          </cell>
          <cell r="C778" t="str">
            <v>IH2</v>
          </cell>
          <cell r="H778">
            <v>0.79653882847847679</v>
          </cell>
          <cell r="I778">
            <v>4.7668947982160423</v>
          </cell>
        </row>
        <row r="779">
          <cell r="A779" t="str">
            <v>D-IH2</v>
          </cell>
          <cell r="B779" t="str">
            <v>VAR_fin</v>
          </cell>
          <cell r="C779" t="str">
            <v>H2</v>
          </cell>
          <cell r="H779">
            <v>0.80260717034551021</v>
          </cell>
          <cell r="I779">
            <v>4.8032108524315174</v>
          </cell>
        </row>
        <row r="780">
          <cell r="A780" t="str">
            <v>D-IH2</v>
          </cell>
          <cell r="B780" t="str">
            <v>VAR_ncap</v>
          </cell>
          <cell r="C780" t="str">
            <v>-</v>
          </cell>
          <cell r="G780">
            <v>6.9936041469029598E-6</v>
          </cell>
          <cell r="H780">
            <v>5.1687562857581401E-2</v>
          </cell>
          <cell r="I780">
            <v>8.4886102524668605E-2</v>
          </cell>
        </row>
        <row r="781">
          <cell r="A781" t="str">
            <v>D-IH2</v>
          </cell>
          <cell r="B781" t="str">
            <v>VAR_cap</v>
          </cell>
          <cell r="C781" t="str">
            <v>-</v>
          </cell>
          <cell r="G781">
            <v>6.9936041469029598E-6</v>
          </cell>
          <cell r="H781">
            <v>9.0780307451837697E-2</v>
          </cell>
          <cell r="I781">
            <v>0.17566640997650601</v>
          </cell>
        </row>
        <row r="782">
          <cell r="A782" t="str">
            <v>D-RHNM_LTH_CHPWOD</v>
          </cell>
          <cell r="B782" t="str">
            <v>VAR_fout</v>
          </cell>
          <cell r="C782" t="str">
            <v>RHNM_LTH_CHPWOD_ON</v>
          </cell>
          <cell r="D782">
            <v>5.1807369159186198E-5</v>
          </cell>
          <cell r="E782">
            <v>5.1949695128900432E-5</v>
          </cell>
          <cell r="F782">
            <v>1.382222165956613E-5</v>
          </cell>
          <cell r="G782">
            <v>1.3757950167547731E-3</v>
          </cell>
        </row>
        <row r="783">
          <cell r="A783" t="str">
            <v>D-RHNM_LTH_CHPWOD</v>
          </cell>
          <cell r="B783" t="str">
            <v>VAR_fout</v>
          </cell>
          <cell r="C783" t="str">
            <v>RHSA_LTH</v>
          </cell>
          <cell r="D783">
            <v>7.3089003022594102E-5</v>
          </cell>
          <cell r="E783">
            <v>9.2066863244315408E-5</v>
          </cell>
          <cell r="F783">
            <v>3.593588498149036E-5</v>
          </cell>
          <cell r="G783">
            <v>3.6844265461153892E-3</v>
          </cell>
          <cell r="H783">
            <v>5.203467489558692E-2</v>
          </cell>
          <cell r="I783">
            <v>2.6400858604826143E-2</v>
          </cell>
        </row>
        <row r="784">
          <cell r="A784" t="str">
            <v>D-RHNM_LTH_CHPWOD</v>
          </cell>
          <cell r="B784" t="str">
            <v>VAR_fout</v>
          </cell>
          <cell r="C784" t="str">
            <v>LTH</v>
          </cell>
          <cell r="E784">
            <v>3.1156656585927929E-6</v>
          </cell>
          <cell r="F784">
            <v>3.1444792122170201E-6</v>
          </cell>
          <cell r="G784">
            <v>3.1003738737998587E-6</v>
          </cell>
          <cell r="H784">
            <v>6.6162240320041476E-5</v>
          </cell>
          <cell r="I784">
            <v>4.980404813639236E-5</v>
          </cell>
        </row>
        <row r="785">
          <cell r="A785" t="str">
            <v>D-RHNM_LTH_CHPWOD</v>
          </cell>
          <cell r="B785" t="str">
            <v>VAR_fin</v>
          </cell>
          <cell r="C785" t="str">
            <v>RHNM_LTH_CHPWOD</v>
          </cell>
          <cell r="D785">
            <v>1.2489637218178037E-4</v>
          </cell>
          <cell r="E785">
            <v>1.4713222403180863E-4</v>
          </cell>
          <cell r="F785">
            <v>5.2902585853273435E-5</v>
          </cell>
          <cell r="G785">
            <v>5.0636452318820017E-3</v>
          </cell>
          <cell r="H785">
            <v>5.2100837135906963E-2</v>
          </cell>
          <cell r="I785">
            <v>2.6450662652962569E-2</v>
          </cell>
        </row>
        <row r="786">
          <cell r="A786" t="str">
            <v>RHNS-SHWODBR</v>
          </cell>
          <cell r="B786" t="str">
            <v>VAR_fout</v>
          </cell>
          <cell r="C786" t="str">
            <v>RHNS-SHWOD</v>
          </cell>
          <cell r="E786">
            <v>2.6576009347486999E-2</v>
          </cell>
          <cell r="F786">
            <v>1.7753177028834808E-3</v>
          </cell>
          <cell r="G786">
            <v>8.2898938343969712E-3</v>
          </cell>
          <cell r="H786">
            <v>1.0887337531658398E-2</v>
          </cell>
          <cell r="I786">
            <v>1.0887920241110575E-2</v>
          </cell>
        </row>
        <row r="787">
          <cell r="A787" t="str">
            <v>RHNS-SHWODBR</v>
          </cell>
          <cell r="B787" t="str">
            <v>VAR_fin</v>
          </cell>
          <cell r="C787" t="str">
            <v>RHNSWODBRC</v>
          </cell>
          <cell r="E787">
            <v>2.6576009347486999E-2</v>
          </cell>
          <cell r="F787">
            <v>1.7753177028834808E-3</v>
          </cell>
          <cell r="G787">
            <v>8.2898938343969712E-3</v>
          </cell>
          <cell r="H787">
            <v>1.0887337531658398E-2</v>
          </cell>
          <cell r="I787">
            <v>1.0887920241110575E-2</v>
          </cell>
        </row>
        <row r="788">
          <cell r="A788" t="str">
            <v>RHNS-SHWODBR</v>
          </cell>
          <cell r="B788" t="str">
            <v>VAR_fin</v>
          </cell>
          <cell r="C788" t="str">
            <v>RWOD</v>
          </cell>
          <cell r="E788">
            <v>3.6911124093731894E-2</v>
          </cell>
          <cell r="F788">
            <v>2.3562940261131838E-3</v>
          </cell>
          <cell r="G788">
            <v>1.0825088254917634E-2</v>
          </cell>
          <cell r="H788">
            <v>1.412700943367797E-2</v>
          </cell>
          <cell r="I788">
            <v>1.4127765536067934E-2</v>
          </cell>
        </row>
        <row r="789">
          <cell r="A789" t="str">
            <v>RHNS-SHWODBR</v>
          </cell>
          <cell r="B789" t="str">
            <v>VAR_ncap</v>
          </cell>
          <cell r="C789" t="str">
            <v>-</v>
          </cell>
          <cell r="E789">
            <v>2.3992219316082701E-3</v>
          </cell>
          <cell r="F789">
            <v>1.00580496013068E-5</v>
          </cell>
        </row>
        <row r="790">
          <cell r="A790" t="str">
            <v>RHNS-SHWODBR</v>
          </cell>
          <cell r="B790" t="str">
            <v>VAR_cap</v>
          </cell>
          <cell r="C790" t="str">
            <v>-</v>
          </cell>
          <cell r="E790">
            <v>2.3992219316082701E-3</v>
          </cell>
          <cell r="F790">
            <v>2.4050301123383741E-3</v>
          </cell>
          <cell r="G790">
            <v>2.3953307302166161E-3</v>
          </cell>
          <cell r="H790">
            <v>2.4500139297688808E-3</v>
          </cell>
          <cell r="I790">
            <v>1.0354511174011526E-3</v>
          </cell>
        </row>
        <row r="791">
          <cell r="A791" t="str">
            <v>D-RHNM_NKEV_GAS_ELC_CHP</v>
          </cell>
          <cell r="B791" t="str">
            <v>VAR_fout</v>
          </cell>
          <cell r="C791" t="str">
            <v>ELC5</v>
          </cell>
          <cell r="E791">
            <v>7.3770760713322942E-4</v>
          </cell>
          <cell r="F791">
            <v>7.5013705875151531E-3</v>
          </cell>
          <cell r="G791">
            <v>3.3308595054238211E-5</v>
          </cell>
          <cell r="H791">
            <v>0.25100492642176053</v>
          </cell>
          <cell r="I791">
            <v>0.18394354020082324</v>
          </cell>
        </row>
        <row r="792">
          <cell r="A792" t="str">
            <v>D-RHNM_NKEV_GAS_ELC_CHP</v>
          </cell>
          <cell r="B792" t="str">
            <v>VAR_fout</v>
          </cell>
          <cell r="C792" t="str">
            <v>RHNM_ELC</v>
          </cell>
          <cell r="E792">
            <v>7.3832761590944898E-4</v>
          </cell>
          <cell r="F792">
            <v>7.4852110814176229E-3</v>
          </cell>
          <cell r="G792">
            <v>3.3252112614238125E-5</v>
          </cell>
          <cell r="H792">
            <v>0.24515524152199983</v>
          </cell>
          <cell r="I792">
            <v>0.1816436840040003</v>
          </cell>
        </row>
        <row r="793">
          <cell r="A793" t="str">
            <v>D-RHNM_NKEV_GAS_ELC_CHP</v>
          </cell>
          <cell r="B793" t="str">
            <v>VAR_fin</v>
          </cell>
          <cell r="C793" t="str">
            <v>RHNM_NKEV_GAS_ELC_CHP</v>
          </cell>
          <cell r="E793">
            <v>1.4760352230426784E-3</v>
          </cell>
          <cell r="F793">
            <v>1.4949481520690476E-2</v>
          </cell>
          <cell r="G793">
            <v>6.6560707668476349E-5</v>
          </cell>
          <cell r="H793">
            <v>0.49616016794375989</v>
          </cell>
          <cell r="I793">
            <v>0.36558722420482359</v>
          </cell>
        </row>
        <row r="794">
          <cell r="A794" t="str">
            <v>D-RLFO</v>
          </cell>
          <cell r="B794" t="str">
            <v>VAR_fout</v>
          </cell>
          <cell r="C794" t="str">
            <v>CO2</v>
          </cell>
          <cell r="D794">
            <v>4514.4906506564103</v>
          </cell>
          <cell r="E794">
            <v>3846.5303550070598</v>
          </cell>
          <cell r="F794">
            <v>3549.0163072932201</v>
          </cell>
          <cell r="G794">
            <v>1561.6635510880201</v>
          </cell>
          <cell r="H794">
            <v>216.070003714384</v>
          </cell>
          <cell r="I794">
            <v>8.9598321802067601E-3</v>
          </cell>
        </row>
        <row r="795">
          <cell r="A795" t="str">
            <v>D-RLFO</v>
          </cell>
          <cell r="B795" t="str">
            <v>VAR_fout</v>
          </cell>
          <cell r="C795" t="str">
            <v>RLFO</v>
          </cell>
          <cell r="D795">
            <v>60.231932098015704</v>
          </cell>
          <cell r="E795">
            <v>51.320065337172437</v>
          </cell>
          <cell r="F795">
            <v>47.353099205234173</v>
          </cell>
          <cell r="G795">
            <v>20.84073571662779</v>
          </cell>
          <cell r="H795">
            <v>2.8872898552338522</v>
          </cell>
          <cell r="I795">
            <v>0.16029525115129445</v>
          </cell>
        </row>
        <row r="796">
          <cell r="A796" t="str">
            <v>D-RLFO</v>
          </cell>
          <cell r="B796" t="str">
            <v>VAR_fin</v>
          </cell>
          <cell r="C796" t="str">
            <v>LFO</v>
          </cell>
          <cell r="D796">
            <v>61.254961338621641</v>
          </cell>
          <cell r="E796">
            <v>52.191728019091641</v>
          </cell>
          <cell r="F796">
            <v>48.154902405606869</v>
          </cell>
          <cell r="G796">
            <v>21.189464736608141</v>
          </cell>
          <cell r="H796">
            <v>2.931750389611731</v>
          </cell>
          <cell r="I796">
            <v>1.2157167137322599E-4</v>
          </cell>
        </row>
        <row r="797">
          <cell r="A797" t="str">
            <v>D-RLFO</v>
          </cell>
          <cell r="B797" t="str">
            <v>VAR_fin</v>
          </cell>
          <cell r="C797" t="str">
            <v>BDS</v>
          </cell>
          <cell r="F797">
            <v>2.4822630342602376E-3</v>
          </cell>
          <cell r="G797">
            <v>5.2491000579737782E-3</v>
          </cell>
          <cell r="H797">
            <v>4.5826235605108375E-3</v>
          </cell>
          <cell r="I797">
            <v>0.1628983689568812</v>
          </cell>
        </row>
        <row r="798">
          <cell r="A798" t="str">
            <v>D-SCOM_LTH_CHPBIO</v>
          </cell>
          <cell r="B798" t="str">
            <v>VAR_fout</v>
          </cell>
          <cell r="C798" t="str">
            <v>SCOM_LTH_CHPBIO_ON</v>
          </cell>
          <cell r="D798">
            <v>1.424323953516518</v>
          </cell>
          <cell r="E798">
            <v>1.5428091344333179</v>
          </cell>
        </row>
        <row r="799">
          <cell r="A799" t="str">
            <v>D-SCOM_LTH_CHPBIO</v>
          </cell>
          <cell r="B799" t="str">
            <v>VAR_fout</v>
          </cell>
          <cell r="C799" t="str">
            <v>LTH</v>
          </cell>
          <cell r="E799">
            <v>3.5533645824702559E-2</v>
          </cell>
        </row>
        <row r="800">
          <cell r="A800" t="str">
            <v>D-SCOM_LTH_CHPBIO</v>
          </cell>
          <cell r="B800" t="str">
            <v>VAR_fin</v>
          </cell>
          <cell r="C800" t="str">
            <v>SCOM_LTH_CHPBIO</v>
          </cell>
          <cell r="D800">
            <v>1.424323953516518</v>
          </cell>
          <cell r="E800">
            <v>1.578342780258021</v>
          </cell>
        </row>
        <row r="801">
          <cell r="A801" t="str">
            <v>D-SCOM_NKEV_GAS_ELC_CHP</v>
          </cell>
          <cell r="B801" t="str">
            <v>VAR_fout</v>
          </cell>
          <cell r="C801" t="str">
            <v>ELC5</v>
          </cell>
          <cell r="D801">
            <v>0.2912990727491061</v>
          </cell>
          <cell r="E801">
            <v>0.31217772733841304</v>
          </cell>
          <cell r="F801">
            <v>1.2687752539822213E-2</v>
          </cell>
          <cell r="G801">
            <v>4.1939259744744626E-5</v>
          </cell>
          <cell r="H801">
            <v>1.5175605700774693</v>
          </cell>
          <cell r="I801">
            <v>1.8667342521236405E-2</v>
          </cell>
        </row>
        <row r="802">
          <cell r="A802" t="str">
            <v>D-SCOM_NKEV_GAS_ELC_CHP</v>
          </cell>
          <cell r="B802" t="str">
            <v>VAR_fout</v>
          </cell>
          <cell r="C802" t="str">
            <v>SCOM_ELC</v>
          </cell>
          <cell r="D802">
            <v>0.30313895114410633</v>
          </cell>
          <cell r="E802">
            <v>0.31377922675356434</v>
          </cell>
          <cell r="F802">
            <v>1.2721917368908185E-2</v>
          </cell>
          <cell r="G802">
            <v>4.1979047695762283E-5</v>
          </cell>
          <cell r="H802">
            <v>1.4924563867865226</v>
          </cell>
          <cell r="I802">
            <v>1.8640666927179295E-2</v>
          </cell>
        </row>
        <row r="803">
          <cell r="A803" t="str">
            <v>D-SCOM_NKEV_GAS_ELC_CHP</v>
          </cell>
          <cell r="B803" t="str">
            <v>VAR_fin</v>
          </cell>
          <cell r="C803" t="str">
            <v>SCOM_NKEV_GAS_ELC_CHP</v>
          </cell>
          <cell r="D803">
            <v>0.59443802389321243</v>
          </cell>
          <cell r="E803">
            <v>0.62595695409197749</v>
          </cell>
          <cell r="F803">
            <v>2.5371443853519277E-2</v>
          </cell>
          <cell r="G803">
            <v>8.3918307440506909E-5</v>
          </cell>
          <cell r="H803">
            <v>3.0100169568639936</v>
          </cell>
          <cell r="I803">
            <v>3.7308009448415738E-2</v>
          </cell>
        </row>
        <row r="804">
          <cell r="A804" t="str">
            <v>RHEM-SHLTHDH</v>
          </cell>
          <cell r="B804" t="str">
            <v>VAR_fout</v>
          </cell>
          <cell r="C804" t="str">
            <v>RHEM-SHLTHD</v>
          </cell>
          <cell r="D804">
            <v>3.2910437960293781</v>
          </cell>
          <cell r="E804">
            <v>3.7887642697788775</v>
          </cell>
          <cell r="F804">
            <v>4.8920049818760614</v>
          </cell>
          <cell r="G804">
            <v>4.6837527787740241</v>
          </cell>
          <cell r="H804">
            <v>4.9615781674117656</v>
          </cell>
          <cell r="I804">
            <v>5.0127313357987671</v>
          </cell>
        </row>
        <row r="805">
          <cell r="A805" t="str">
            <v>RHEM-SHLTHDH</v>
          </cell>
          <cell r="B805" t="str">
            <v>VAR_fin</v>
          </cell>
          <cell r="C805" t="str">
            <v>RHEMLTHDHC</v>
          </cell>
          <cell r="D805">
            <v>3.2910437960293781</v>
          </cell>
          <cell r="E805">
            <v>3.7887642697788775</v>
          </cell>
          <cell r="F805">
            <v>4.8920049818760614</v>
          </cell>
          <cell r="G805">
            <v>4.6837527787740241</v>
          </cell>
          <cell r="H805">
            <v>4.9615781674117656</v>
          </cell>
          <cell r="I805">
            <v>5.0127313357987671</v>
          </cell>
        </row>
        <row r="806">
          <cell r="A806" t="str">
            <v>RHEM-SHLTHDH</v>
          </cell>
          <cell r="B806" t="str">
            <v>VAR_fin</v>
          </cell>
          <cell r="C806" t="str">
            <v>RHEM_LTH_DH</v>
          </cell>
          <cell r="D806">
            <v>3.3242866626559353</v>
          </cell>
          <cell r="E806">
            <v>3.8270346159382602</v>
          </cell>
          <cell r="F806">
            <v>5.5050040595593934</v>
          </cell>
          <cell r="G806">
            <v>5.2706565419799629</v>
          </cell>
          <cell r="H806">
            <v>5.5832952040348198</v>
          </cell>
          <cell r="I806">
            <v>5.6408581870393455</v>
          </cell>
        </row>
        <row r="807">
          <cell r="A807" t="str">
            <v>RHEM-SHLTHDH</v>
          </cell>
          <cell r="B807" t="str">
            <v>VAR_ncap</v>
          </cell>
          <cell r="C807" t="str">
            <v>-</v>
          </cell>
          <cell r="D807">
            <v>6.4408122615869203E-7</v>
          </cell>
          <cell r="E807">
            <v>0.15440899709620301</v>
          </cell>
          <cell r="F807">
            <v>0.198857463808779</v>
          </cell>
          <cell r="G807">
            <v>0.14544668601093799</v>
          </cell>
          <cell r="H807">
            <v>0.15789997623841501</v>
          </cell>
          <cell r="I807">
            <v>0.147361408413861</v>
          </cell>
        </row>
        <row r="808">
          <cell r="A808" t="str">
            <v>RHEM-SHLTHDH</v>
          </cell>
          <cell r="B808" t="str">
            <v>VAR_cap</v>
          </cell>
          <cell r="C808" t="str">
            <v>-</v>
          </cell>
          <cell r="D808">
            <v>0.31562611119291412</v>
          </cell>
          <cell r="E808">
            <v>0.27655334151050598</v>
          </cell>
          <cell r="F808">
            <v>0.39664733760573501</v>
          </cell>
          <cell r="G808">
            <v>0.38181156142108802</v>
          </cell>
          <cell r="H808">
            <v>0.367049953853679</v>
          </cell>
          <cell r="I808">
            <v>0.36114602118935302</v>
          </cell>
        </row>
        <row r="809">
          <cell r="A809" t="str">
            <v>D-ITOT_SOLELC</v>
          </cell>
          <cell r="B809" t="str">
            <v>VAR_fout</v>
          </cell>
          <cell r="C809" t="str">
            <v>ITOT_ELC</v>
          </cell>
          <cell r="D809">
            <v>3.4942669102650643</v>
          </cell>
          <cell r="E809">
            <v>4.8299550912034848</v>
          </cell>
          <cell r="F809">
            <v>11.148079534018278</v>
          </cell>
          <cell r="G809">
            <v>2.3972786768013893E-3</v>
          </cell>
          <cell r="H809">
            <v>28.333737641875494</v>
          </cell>
          <cell r="I809">
            <v>36.656898439744758</v>
          </cell>
        </row>
        <row r="810">
          <cell r="A810" t="str">
            <v>D-ITOT_SOLELC</v>
          </cell>
          <cell r="B810" t="str">
            <v>VAR_fout</v>
          </cell>
          <cell r="C810" t="str">
            <v>ELC5</v>
          </cell>
          <cell r="D810">
            <v>2.3687089442468591E-2</v>
          </cell>
          <cell r="E810">
            <v>1.9887990105173094E-2</v>
          </cell>
          <cell r="F810">
            <v>1.3546270684492269E-2</v>
          </cell>
          <cell r="G810">
            <v>12.257276448355077</v>
          </cell>
          <cell r="H810">
            <v>12.5002469311044</v>
          </cell>
          <cell r="I810">
            <v>27.676073277274039</v>
          </cell>
        </row>
        <row r="811">
          <cell r="A811" t="str">
            <v>D-ITOT_SOLELC</v>
          </cell>
          <cell r="B811" t="str">
            <v>VAR_fin</v>
          </cell>
          <cell r="C811" t="str">
            <v>ITOT_SOL_ELC</v>
          </cell>
          <cell r="D811">
            <v>3.517953999707534</v>
          </cell>
          <cell r="E811">
            <v>4.8498358842776508</v>
          </cell>
          <cell r="F811">
            <v>11.161606387791492</v>
          </cell>
          <cell r="G811">
            <v>12.259650293068507</v>
          </cell>
          <cell r="H811">
            <v>40.833968620879681</v>
          </cell>
          <cell r="I811">
            <v>64.332956945235054</v>
          </cell>
        </row>
        <row r="812">
          <cell r="A812" t="str">
            <v>D-SWOD</v>
          </cell>
          <cell r="B812" t="str">
            <v>VAR_fout</v>
          </cell>
          <cell r="C812" t="str">
            <v>SWOD</v>
          </cell>
          <cell r="D812">
            <v>8.5743842178766574</v>
          </cell>
          <cell r="E812">
            <v>7.2518812797906858</v>
          </cell>
          <cell r="F812">
            <v>9.6278817712407765</v>
          </cell>
          <cell r="G812">
            <v>8.2596194089506039</v>
          </cell>
          <cell r="H812">
            <v>4.3285624039559716</v>
          </cell>
          <cell r="I812">
            <v>1.7321039744441891</v>
          </cell>
        </row>
        <row r="813">
          <cell r="A813" t="str">
            <v>D-SWOD</v>
          </cell>
          <cell r="B813" t="str">
            <v>VAR_fin</v>
          </cell>
          <cell r="C813" t="str">
            <v>WOD</v>
          </cell>
          <cell r="D813">
            <v>8.5743842178766574</v>
          </cell>
          <cell r="E813">
            <v>7.2518812797906858</v>
          </cell>
          <cell r="F813">
            <v>9.6278817712407765</v>
          </cell>
          <cell r="G813">
            <v>8.2596194089506039</v>
          </cell>
          <cell r="H813">
            <v>4.3285624039559716</v>
          </cell>
          <cell r="I813">
            <v>1.7321039744441891</v>
          </cell>
        </row>
        <row r="814">
          <cell r="A814" t="str">
            <v>ITOT-PROCESSCO2CCS</v>
          </cell>
          <cell r="B814" t="str">
            <v>VAR_fout</v>
          </cell>
          <cell r="C814" t="str">
            <v>CO2_O</v>
          </cell>
          <cell r="H814">
            <v>0.42725041380157319</v>
          </cell>
          <cell r="I814">
            <v>1031.9084892866658</v>
          </cell>
        </row>
        <row r="815">
          <cell r="A815" t="str">
            <v>ITOT-PROCESSCO2CCS</v>
          </cell>
          <cell r="B815" t="str">
            <v>VAR_fout</v>
          </cell>
          <cell r="C815" t="str">
            <v>CO2</v>
          </cell>
          <cell r="H815">
            <v>-0.42725041380157303</v>
          </cell>
          <cell r="I815">
            <v>-1031.9084892866699</v>
          </cell>
        </row>
        <row r="816">
          <cell r="A816" t="str">
            <v>ITOT-PROCESSCO2CCS</v>
          </cell>
          <cell r="B816" t="str">
            <v>VAR_fin</v>
          </cell>
          <cell r="C816" t="str">
            <v>ITOT_ELC</v>
          </cell>
          <cell r="H816">
            <v>9.0476558216803771E-4</v>
          </cell>
          <cell r="I816">
            <v>2.1852179773129423</v>
          </cell>
        </row>
        <row r="817">
          <cell r="A817" t="str">
            <v>ITOT-PROCESSCO2CCS</v>
          </cell>
          <cell r="B817" t="str">
            <v>VAR_fin</v>
          </cell>
          <cell r="C817" t="str">
            <v>ITOT_LTH_DH</v>
          </cell>
          <cell r="H817">
            <v>3.5185328195423644E-4</v>
          </cell>
          <cell r="I817">
            <v>0.84980699117725589</v>
          </cell>
        </row>
        <row r="818">
          <cell r="A818" t="str">
            <v>ITOT-PROCESSCO2CCS</v>
          </cell>
          <cell r="B818" t="str">
            <v>VAR_ncap</v>
          </cell>
          <cell r="C818" t="str">
            <v>-</v>
          </cell>
          <cell r="H818">
            <v>1.24021948158507</v>
          </cell>
          <cell r="I818">
            <v>3157.02095599824</v>
          </cell>
        </row>
        <row r="819">
          <cell r="A819" t="str">
            <v>ITOT-PROCESSCO2CCS</v>
          </cell>
          <cell r="B819" t="str">
            <v>VAR_cap</v>
          </cell>
          <cell r="C819" t="str">
            <v>-</v>
          </cell>
          <cell r="H819">
            <v>1.24021948158507</v>
          </cell>
          <cell r="I819">
            <v>3158.2611754798199</v>
          </cell>
        </row>
        <row r="820">
          <cell r="A820" t="str">
            <v>D-RSH2R</v>
          </cell>
          <cell r="B820" t="str">
            <v>VAR_fout</v>
          </cell>
          <cell r="C820" t="str">
            <v>RSH2</v>
          </cell>
          <cell r="G820">
            <v>8.4379523788661323E-4</v>
          </cell>
          <cell r="H820">
            <v>1.2303455748711451E-3</v>
          </cell>
          <cell r="I820">
            <v>2.4678856424039225E-3</v>
          </cell>
        </row>
        <row r="821">
          <cell r="A821" t="str">
            <v>D-RSH2R</v>
          </cell>
          <cell r="B821" t="str">
            <v>VAR_fin</v>
          </cell>
          <cell r="C821" t="str">
            <v>H2</v>
          </cell>
          <cell r="G821">
            <v>8.4379523788661323E-4</v>
          </cell>
          <cell r="H821">
            <v>1.2303455748711451E-3</v>
          </cell>
          <cell r="I821">
            <v>2.4678856424039225E-3</v>
          </cell>
        </row>
        <row r="822">
          <cell r="A822" t="str">
            <v>D-RSH2R</v>
          </cell>
          <cell r="B822" t="str">
            <v>VAR_ncap</v>
          </cell>
          <cell r="C822" t="str">
            <v>-</v>
          </cell>
          <cell r="G822">
            <v>4.3056111767210501E-4</v>
          </cell>
          <cell r="H822">
            <v>5.8996620987594999E-4</v>
          </cell>
          <cell r="I822">
            <v>3.2380565480042702E-4</v>
          </cell>
        </row>
        <row r="823">
          <cell r="A823" t="str">
            <v>D-RSH2R</v>
          </cell>
          <cell r="B823" t="str">
            <v>VAR_cap</v>
          </cell>
          <cell r="C823" t="str">
            <v>-</v>
          </cell>
          <cell r="G823">
            <v>4.3056111767210501E-4</v>
          </cell>
          <cell r="H823">
            <v>6.7790931079376895E-4</v>
          </cell>
          <cell r="I823">
            <v>5.2588161654417201E-4</v>
          </cell>
        </row>
        <row r="824">
          <cell r="A824" t="str">
            <v>SCOM-SHLTHCHPBIO</v>
          </cell>
          <cell r="B824" t="str">
            <v>VAR_fout</v>
          </cell>
          <cell r="C824" t="str">
            <v>SCOM-SHLTHC-BIO</v>
          </cell>
          <cell r="D824">
            <v>1.4100807139813516</v>
          </cell>
          <cell r="E824">
            <v>1.5273810430889851</v>
          </cell>
        </row>
        <row r="825">
          <cell r="A825" t="str">
            <v>SCOM-SHLTHCHPBIO</v>
          </cell>
          <cell r="B825" t="str">
            <v>VAR_fin</v>
          </cell>
          <cell r="C825" t="str">
            <v>SCOM_LTH_CHPBIO_ON</v>
          </cell>
          <cell r="D825">
            <v>1.424323953516518</v>
          </cell>
          <cell r="E825">
            <v>1.5428091344333179</v>
          </cell>
        </row>
        <row r="826">
          <cell r="A826" t="str">
            <v>SCOM-SHLTHCHPBIO</v>
          </cell>
          <cell r="B826" t="str">
            <v>VAR_fin</v>
          </cell>
          <cell r="C826" t="str">
            <v>SCOMLTHCHPC</v>
          </cell>
          <cell r="D826">
            <v>1.4100807139813516</v>
          </cell>
          <cell r="E826">
            <v>1.5273810430889851</v>
          </cell>
        </row>
        <row r="827">
          <cell r="A827" t="str">
            <v>SCOM-SHLTHCHPBIO</v>
          </cell>
          <cell r="B827" t="str">
            <v>VAR_ncap</v>
          </cell>
          <cell r="C827" t="str">
            <v>-</v>
          </cell>
          <cell r="D827">
            <v>6.6239271349814795E-7</v>
          </cell>
          <cell r="E827">
            <v>8.2983493782620807E-2</v>
          </cell>
          <cell r="F827">
            <v>6.3096104115656304E-2</v>
          </cell>
          <cell r="G827">
            <v>4.9377396921236702E-2</v>
          </cell>
          <cell r="H827">
            <v>0.11224158979200299</v>
          </cell>
          <cell r="I827">
            <v>0.13773938766927499</v>
          </cell>
        </row>
        <row r="828">
          <cell r="A828" t="str">
            <v>SCOM-SHLTHCHPBIO</v>
          </cell>
          <cell r="B828" t="str">
            <v>VAR_cap</v>
          </cell>
          <cell r="C828" t="str">
            <v>-</v>
          </cell>
          <cell r="D828">
            <v>0.1091403499717525</v>
          </cell>
          <cell r="E828">
            <v>0.1211519706488442</v>
          </cell>
          <cell r="F828">
            <v>0.104718986517531</v>
          </cell>
          <cell r="G828">
            <v>9.2001767161795978E-2</v>
          </cell>
          <cell r="H828">
            <v>0.15405740166382609</v>
          </cell>
          <cell r="I828">
            <v>0.18512212244498982</v>
          </cell>
        </row>
        <row r="829">
          <cell r="A829" t="str">
            <v>D-RSH2</v>
          </cell>
          <cell r="B829" t="str">
            <v>VAR_fout</v>
          </cell>
          <cell r="C829" t="str">
            <v>RSH2</v>
          </cell>
          <cell r="G829">
            <v>7.6524869967237348E-4</v>
          </cell>
          <cell r="H829">
            <v>1.2234539165916164E-3</v>
          </cell>
          <cell r="I829">
            <v>2.5038495066971931E-3</v>
          </cell>
        </row>
        <row r="830">
          <cell r="A830" t="str">
            <v>D-RSH2</v>
          </cell>
          <cell r="B830" t="str">
            <v>VAR_fin</v>
          </cell>
          <cell r="C830" t="str">
            <v>H2</v>
          </cell>
          <cell r="G830">
            <v>7.7107866119701805E-4</v>
          </cell>
          <cell r="H830">
            <v>1.232774663250784E-3</v>
          </cell>
          <cell r="I830">
            <v>2.5229248037787711E-3</v>
          </cell>
        </row>
        <row r="831">
          <cell r="A831" t="str">
            <v>D-RSH2</v>
          </cell>
          <cell r="B831" t="str">
            <v>VAR_ncap</v>
          </cell>
          <cell r="C831" t="str">
            <v>-</v>
          </cell>
          <cell r="G831">
            <v>6.0468157622823899E-4</v>
          </cell>
          <cell r="H831">
            <v>1.1270859058063201E-5</v>
          </cell>
          <cell r="I831">
            <v>1.0023110440249401E-5</v>
          </cell>
        </row>
        <row r="832">
          <cell r="A832" t="str">
            <v>D-RSH2</v>
          </cell>
          <cell r="B832" t="str">
            <v>VAR_cap</v>
          </cell>
          <cell r="C832" t="str">
            <v>-</v>
          </cell>
          <cell r="G832">
            <v>6.0468157622823899E-4</v>
          </cell>
          <cell r="H832">
            <v>8.80365840185347E-4</v>
          </cell>
          <cell r="I832">
            <v>8.9038895062559602E-4</v>
          </cell>
        </row>
        <row r="833">
          <cell r="A833" t="str">
            <v>RHES-SHNGABR</v>
          </cell>
          <cell r="B833" t="str">
            <v>VAR_fout</v>
          </cell>
          <cell r="C833" t="str">
            <v>CO2_R</v>
          </cell>
          <cell r="D833">
            <v>1043.1371754469401</v>
          </cell>
          <cell r="E833">
            <v>1117.2979341202499</v>
          </cell>
          <cell r="F833">
            <v>629.40025403588402</v>
          </cell>
          <cell r="G833">
            <v>428.43076210522702</v>
          </cell>
          <cell r="H833">
            <v>144.21739250191101</v>
          </cell>
          <cell r="I833">
            <v>80.120579581828494</v>
          </cell>
        </row>
        <row r="834">
          <cell r="A834" t="str">
            <v>RHES-SHNGABR</v>
          </cell>
          <cell r="B834" t="str">
            <v>VAR_fout</v>
          </cell>
          <cell r="C834" t="str">
            <v>RHES-SHNGA</v>
          </cell>
          <cell r="D834">
            <v>17.570572990684344</v>
          </cell>
          <cell r="E834">
            <v>18.819734705926262</v>
          </cell>
          <cell r="F834">
            <v>10.186702922839384</v>
          </cell>
          <cell r="G834">
            <v>6.9538817463648739</v>
          </cell>
          <cell r="H834">
            <v>2.3523290924203466</v>
          </cell>
          <cell r="I834">
            <v>1.3286778915096775</v>
          </cell>
        </row>
        <row r="835">
          <cell r="A835" t="str">
            <v>RHES-SHNGABR</v>
          </cell>
          <cell r="B835" t="str">
            <v>VAR_fin</v>
          </cell>
          <cell r="C835" t="str">
            <v>RNGA</v>
          </cell>
          <cell r="D835">
            <v>18.495339990194037</v>
          </cell>
          <cell r="E835">
            <v>19.810247058869749</v>
          </cell>
          <cell r="F835">
            <v>11.15957897226744</v>
          </cell>
          <cell r="G835">
            <v>7.5962901082487031</v>
          </cell>
          <cell r="H835">
            <v>2.5570459663459442</v>
          </cell>
          <cell r="I835">
            <v>1.4205776521600793</v>
          </cell>
        </row>
        <row r="836">
          <cell r="A836" t="str">
            <v>RHES-SHNGABR</v>
          </cell>
          <cell r="B836" t="str">
            <v>VAR_ncap</v>
          </cell>
          <cell r="C836" t="str">
            <v>-</v>
          </cell>
          <cell r="E836">
            <v>9.8614489806790606E-2</v>
          </cell>
          <cell r="F836">
            <v>1.65679412666422E-6</v>
          </cell>
          <cell r="G836">
            <v>3.2956069534714699E-6</v>
          </cell>
          <cell r="H836">
            <v>0.15559282473904201</v>
          </cell>
          <cell r="I836">
            <v>6.3094372852479601E-6</v>
          </cell>
        </row>
        <row r="837">
          <cell r="A837" t="str">
            <v>RHES-SHNGABR</v>
          </cell>
          <cell r="B837" t="str">
            <v>VAR_cap</v>
          </cell>
          <cell r="C837" t="str">
            <v>-</v>
          </cell>
          <cell r="D837">
            <v>1.4219190615860799</v>
          </cell>
          <cell r="E837">
            <v>1.5205329564005181</v>
          </cell>
          <cell r="F837">
            <v>1.2318043661323612</v>
          </cell>
          <cell r="G837">
            <v>1.2310372317376637</v>
          </cell>
          <cell r="H837">
            <v>0.19027930504742746</v>
          </cell>
          <cell r="I837">
            <v>0.12749507442098568</v>
          </cell>
        </row>
        <row r="838">
          <cell r="A838" t="str">
            <v>SCOM-SHLTHCHPHFC</v>
          </cell>
          <cell r="B838" t="str">
            <v>VAR_ncap</v>
          </cell>
          <cell r="C838" t="str">
            <v>-</v>
          </cell>
          <cell r="G838">
            <v>1.6359650510366301E-4</v>
          </cell>
          <cell r="H838">
            <v>2.7506906737765903E-4</v>
          </cell>
          <cell r="I838">
            <v>1.00628702226412E-3</v>
          </cell>
        </row>
        <row r="839">
          <cell r="A839" t="str">
            <v>SCOM-SHLTHCHPHFC</v>
          </cell>
          <cell r="B839" t="str">
            <v>VAR_cap</v>
          </cell>
          <cell r="C839" t="str">
            <v>-</v>
          </cell>
          <cell r="G839">
            <v>1.6359650510366301E-4</v>
          </cell>
          <cell r="H839">
            <v>3.8469903919680006E-4</v>
          </cell>
          <cell r="I839">
            <v>1.1133982384520429E-3</v>
          </cell>
        </row>
        <row r="840">
          <cell r="A840" t="str">
            <v>RHSA-WHNGABR</v>
          </cell>
          <cell r="B840" t="str">
            <v>VAR_fout</v>
          </cell>
          <cell r="C840" t="str">
            <v>RHSA-WHNGA</v>
          </cell>
          <cell r="D840">
            <v>6.3804818364102731</v>
          </cell>
          <cell r="E840">
            <v>5.541030522170816</v>
          </cell>
          <cell r="F840">
            <v>4.9546538389857364</v>
          </cell>
          <cell r="G840">
            <v>3.0555677276515483</v>
          </cell>
          <cell r="H840">
            <v>1.2608157103272426</v>
          </cell>
          <cell r="I840">
            <v>0.78939298862197149</v>
          </cell>
        </row>
        <row r="841">
          <cell r="A841" t="str">
            <v>RHSA-WHNGABR</v>
          </cell>
          <cell r="B841" t="str">
            <v>VAR_fout</v>
          </cell>
          <cell r="C841" t="str">
            <v>CO2_R</v>
          </cell>
          <cell r="D841">
            <v>479.81223409805199</v>
          </cell>
          <cell r="E841">
            <v>414.47496213585401</v>
          </cell>
          <cell r="F841">
            <v>529.95292165810497</v>
          </cell>
          <cell r="G841">
            <v>311.39410338848398</v>
          </cell>
          <cell r="H841">
            <v>126.54380182682399</v>
          </cell>
          <cell r="I841">
            <v>77.152547652841207</v>
          </cell>
        </row>
        <row r="842">
          <cell r="A842" t="str">
            <v>RHSA-WHNGABR</v>
          </cell>
          <cell r="B842" t="str">
            <v>VAR_fin</v>
          </cell>
          <cell r="C842" t="str">
            <v>RNGA</v>
          </cell>
          <cell r="D842">
            <v>8.5073091152137028</v>
          </cell>
          <cell r="E842">
            <v>7.3488468463803818</v>
          </cell>
          <cell r="F842">
            <v>9.3963283981933401</v>
          </cell>
          <cell r="G842">
            <v>5.5211720458951081</v>
          </cell>
          <cell r="H842">
            <v>2.2436844295536087</v>
          </cell>
          <cell r="I842">
            <v>1.367952972568107</v>
          </cell>
        </row>
        <row r="843">
          <cell r="A843" t="str">
            <v>RHSA-WHNGABR</v>
          </cell>
          <cell r="B843" t="str">
            <v>VAR_ncap</v>
          </cell>
          <cell r="C843" t="str">
            <v>-</v>
          </cell>
          <cell r="E843">
            <v>8.5112757925937493E-6</v>
          </cell>
          <cell r="F843">
            <v>3.0324907866311802E-6</v>
          </cell>
          <cell r="G843">
            <v>5.1280294485100197E-6</v>
          </cell>
          <cell r="H843">
            <v>5.2813788039233603E-2</v>
          </cell>
          <cell r="I843">
            <v>5.1371167287094901E-3</v>
          </cell>
        </row>
        <row r="844">
          <cell r="A844" t="str">
            <v>RHSA-WHNGABR</v>
          </cell>
          <cell r="B844" t="str">
            <v>VAR_cap</v>
          </cell>
          <cell r="C844" t="str">
            <v>-</v>
          </cell>
          <cell r="D844">
            <v>0.43610075802020798</v>
          </cell>
          <cell r="E844">
            <v>0.43609003365461174</v>
          </cell>
          <cell r="F844">
            <v>0.43527563047528184</v>
          </cell>
          <cell r="G844">
            <v>0.43431499295887749</v>
          </cell>
          <cell r="H844">
            <v>8.9601598717575393E-2</v>
          </cell>
          <cell r="I844">
            <v>5.9022937615835026E-2</v>
          </cell>
        </row>
        <row r="845">
          <cell r="A845" t="str">
            <v>ITOT-SWHWSTBR</v>
          </cell>
          <cell r="B845" t="str">
            <v>VAR_fout</v>
          </cell>
          <cell r="C845" t="str">
            <v>ITOT-SWH</v>
          </cell>
          <cell r="D845">
            <v>4.1173734464920395</v>
          </cell>
          <cell r="E845">
            <v>4.2663807136016025</v>
          </cell>
          <cell r="F845">
            <v>2.9612196107854785</v>
          </cell>
          <cell r="G845">
            <v>3.0228344219705865</v>
          </cell>
          <cell r="H845">
            <v>0.11467493076270416</v>
          </cell>
          <cell r="I845">
            <v>2.0066920568562827E-3</v>
          </cell>
        </row>
        <row r="846">
          <cell r="A846" t="str">
            <v>ITOT-SWHWSTBR</v>
          </cell>
          <cell r="B846" t="str">
            <v>VAR_fout</v>
          </cell>
          <cell r="C846" t="str">
            <v>CO2_I</v>
          </cell>
          <cell r="D846">
            <v>723.65957544405501</v>
          </cell>
          <cell r="E846">
            <v>749.84873148149404</v>
          </cell>
          <cell r="F846">
            <v>520.456780077448</v>
          </cell>
          <cell r="G846">
            <v>531.28604992210398</v>
          </cell>
          <cell r="H846">
            <v>20.154987831020701</v>
          </cell>
          <cell r="I846">
            <v>0.342318056757836</v>
          </cell>
        </row>
        <row r="847">
          <cell r="A847" t="str">
            <v>ITOT-SWHWSTBR</v>
          </cell>
          <cell r="B847" t="str">
            <v>VAR_fin</v>
          </cell>
          <cell r="C847" t="str">
            <v>IWST</v>
          </cell>
          <cell r="D847">
            <v>7.7980557698712785</v>
          </cell>
          <cell r="E847">
            <v>8.0802665030333447</v>
          </cell>
          <cell r="F847">
            <v>5.608370474972503</v>
          </cell>
          <cell r="G847">
            <v>5.7250651931261078</v>
          </cell>
          <cell r="H847">
            <v>0.21718736886875803</v>
          </cell>
          <cell r="I847">
            <v>3.688772163338756E-3</v>
          </cell>
        </row>
        <row r="848">
          <cell r="A848" t="str">
            <v>ITOT-SWHWSTBR</v>
          </cell>
          <cell r="B848" t="str">
            <v>VAR_ncap</v>
          </cell>
          <cell r="C848" t="str">
            <v>-</v>
          </cell>
          <cell r="E848">
            <v>1.3540448455946801E-4</v>
          </cell>
          <cell r="F848">
            <v>1.2672301177705099E-4</v>
          </cell>
          <cell r="G848">
            <v>1.84573150169684E-4</v>
          </cell>
          <cell r="H848">
            <v>8.5792232879845602E-3</v>
          </cell>
          <cell r="I848">
            <v>6.9432302480214401E-5</v>
          </cell>
        </row>
        <row r="849">
          <cell r="A849" t="str">
            <v>ITOT-SWHWSTBR</v>
          </cell>
          <cell r="B849" t="str">
            <v>VAR_cap</v>
          </cell>
          <cell r="C849" t="str">
            <v>-</v>
          </cell>
          <cell r="D849">
            <v>0.35954682816669398</v>
          </cell>
          <cell r="E849">
            <v>0.34447278690377775</v>
          </cell>
          <cell r="F849">
            <v>0.25166083051634452</v>
          </cell>
          <cell r="G849">
            <v>0.19804500528560817</v>
          </cell>
          <cell r="H849">
            <v>9.1519683987123669E-3</v>
          </cell>
          <cell r="I849">
            <v>1.8566413276950924E-4</v>
          </cell>
        </row>
        <row r="850">
          <cell r="A850" t="str">
            <v>SCOM-SHSTG-ELC</v>
          </cell>
          <cell r="B850" t="str">
            <v>VAR_fout</v>
          </cell>
          <cell r="C850" t="str">
            <v>SCOM-SHAELCB</v>
          </cell>
          <cell r="D850">
            <v>5.455681480701265E-5</v>
          </cell>
          <cell r="E850">
            <v>1.6067112390930614E-3</v>
          </cell>
          <cell r="F850">
            <v>9.1021119883496801E-5</v>
          </cell>
          <cell r="G850">
            <v>3.5199978232670018E-5</v>
          </cell>
          <cell r="H850">
            <v>1.2683920988320761E-4</v>
          </cell>
          <cell r="I850">
            <v>8.4286851248997343E-5</v>
          </cell>
        </row>
        <row r="851">
          <cell r="A851" t="str">
            <v>SCOM-SHSTG-ELC</v>
          </cell>
          <cell r="B851" t="str">
            <v>VAR_fin</v>
          </cell>
          <cell r="C851" t="str">
            <v>SCOM-SHAELCB</v>
          </cell>
          <cell r="D851">
            <v>7.1384565817010141E-5</v>
          </cell>
          <cell r="E851">
            <v>2.1017162357240089E-3</v>
          </cell>
          <cell r="F851">
            <v>1.0612942655912811E-4</v>
          </cell>
          <cell r="G851">
            <v>3.5131674851212096E-5</v>
          </cell>
          <cell r="H851">
            <v>1.4891562541116573E-4</v>
          </cell>
          <cell r="I851">
            <v>9.4016066444843499E-5</v>
          </cell>
        </row>
        <row r="852">
          <cell r="A852" t="str">
            <v>SCOM-SHSTG-ELC</v>
          </cell>
          <cell r="B852" t="str">
            <v>VAR_ncap</v>
          </cell>
          <cell r="C852" t="str">
            <v>-</v>
          </cell>
          <cell r="D852">
            <v>1.80766414297387E-2</v>
          </cell>
          <cell r="E852">
            <v>1.70545847605941E-4</v>
          </cell>
          <cell r="F852">
            <v>7.6498375113046501E-3</v>
          </cell>
          <cell r="G852">
            <v>2.9328315466117702E-4</v>
          </cell>
          <cell r="H852">
            <v>4.3632362795123503E-3</v>
          </cell>
          <cell r="I852">
            <v>7.1556572157298098E-4</v>
          </cell>
        </row>
        <row r="853">
          <cell r="A853" t="str">
            <v>SCOM-SHSTG-ELC</v>
          </cell>
          <cell r="B853" t="str">
            <v>VAR_cap</v>
          </cell>
          <cell r="C853" t="str">
            <v>-</v>
          </cell>
          <cell r="D853">
            <v>1.80766414297387E-2</v>
          </cell>
          <cell r="E853">
            <v>1.5815107836258009E-3</v>
          </cell>
          <cell r="F853">
            <v>9.1375376102239975E-3</v>
          </cell>
          <cell r="G853">
            <v>9.0182170422723022E-3</v>
          </cell>
          <cell r="H853">
            <v>5.8836507711452117E-3</v>
          </cell>
          <cell r="I853">
            <v>3.8221637714174021E-3</v>
          </cell>
        </row>
        <row r="854">
          <cell r="A854" t="str">
            <v>SCOM-SHNGABR</v>
          </cell>
          <cell r="B854" t="str">
            <v>VAR_fout</v>
          </cell>
          <cell r="C854" t="str">
            <v>CO2_S</v>
          </cell>
          <cell r="D854">
            <v>1440.9469280160899</v>
          </cell>
          <cell r="E854">
            <v>1441.2773351880501</v>
          </cell>
          <cell r="F854">
            <v>1204.52448407364</v>
          </cell>
          <cell r="G854">
            <v>785.72914270476895</v>
          </cell>
          <cell r="H854">
            <v>228.81361055073</v>
          </cell>
          <cell r="I854">
            <v>131.98119511839499</v>
          </cell>
        </row>
        <row r="855">
          <cell r="A855" t="str">
            <v>SCOM-SHNGABR</v>
          </cell>
          <cell r="B855" t="str">
            <v>VAR_fout</v>
          </cell>
          <cell r="C855" t="str">
            <v>SCOM-SHNGA</v>
          </cell>
          <cell r="D855">
            <v>24.18973075928638</v>
          </cell>
          <cell r="E855">
            <v>24.195277431669112</v>
          </cell>
          <cell r="F855">
            <v>18.183542754877003</v>
          </cell>
          <cell r="G855">
            <v>12.050332480431603</v>
          </cell>
          <cell r="H855">
            <v>3.5091992053301171</v>
          </cell>
          <cell r="I855">
            <v>2.0241291762025888</v>
          </cell>
        </row>
        <row r="856">
          <cell r="A856" t="str">
            <v>SCOM-SHNGABR</v>
          </cell>
          <cell r="B856" t="str">
            <v>VAR_fin</v>
          </cell>
          <cell r="C856" t="str">
            <v>SNGA</v>
          </cell>
          <cell r="D856">
            <v>25.548704397448503</v>
          </cell>
          <cell r="E856">
            <v>25.554562680639265</v>
          </cell>
          <cell r="F856">
            <v>21.356817093504283</v>
          </cell>
          <cell r="G856">
            <v>13.931367778453344</v>
          </cell>
          <cell r="H856">
            <v>4.0569789104739371</v>
          </cell>
          <cell r="I856">
            <v>2.3400921120282687</v>
          </cell>
        </row>
        <row r="857">
          <cell r="A857" t="str">
            <v>SCOM-SHNGABR</v>
          </cell>
          <cell r="B857" t="str">
            <v>VAR_ncap</v>
          </cell>
          <cell r="C857" t="str">
            <v>-</v>
          </cell>
          <cell r="D857">
            <v>1.62330451622965E-6</v>
          </cell>
          <cell r="E857">
            <v>1.3553586140849401E-5</v>
          </cell>
          <cell r="F857">
            <v>1.39001259369598E-5</v>
          </cell>
          <cell r="G857">
            <v>1.6336656172456801E-5</v>
          </cell>
          <cell r="H857">
            <v>0.18539850271379499</v>
          </cell>
          <cell r="I857">
            <v>2.2146908490439298E-3</v>
          </cell>
        </row>
        <row r="858">
          <cell r="A858" t="str">
            <v>SCOM-SHNGABR</v>
          </cell>
          <cell r="B858" t="str">
            <v>VAR_cap</v>
          </cell>
          <cell r="C858" t="str">
            <v>-</v>
          </cell>
          <cell r="D858">
            <v>2.774683121179736</v>
          </cell>
          <cell r="E858">
            <v>2.633447340277459</v>
          </cell>
          <cell r="F858">
            <v>1.9862580217191468</v>
          </cell>
          <cell r="G858">
            <v>1.9846809989539282</v>
          </cell>
          <cell r="H858">
            <v>0.40164751004541754</v>
          </cell>
          <cell r="I858">
            <v>0.2282236978676285</v>
          </cell>
        </row>
        <row r="859">
          <cell r="A859" t="str">
            <v>RHEM-SHELCHP</v>
          </cell>
          <cell r="B859" t="str">
            <v>VAR_fout</v>
          </cell>
          <cell r="C859" t="str">
            <v>RHEM-SHAELCH</v>
          </cell>
          <cell r="D859">
            <v>9.9025926032798388</v>
          </cell>
          <cell r="E859">
            <v>11.655241378147105</v>
          </cell>
          <cell r="F859">
            <v>10.98744290423079</v>
          </cell>
          <cell r="G859">
            <v>19.481066363989797</v>
          </cell>
          <cell r="H859">
            <v>25.10692879538669</v>
          </cell>
          <cell r="I859">
            <v>21.613939690974171</v>
          </cell>
        </row>
        <row r="860">
          <cell r="A860" t="str">
            <v>RHEM-SHELCHP</v>
          </cell>
          <cell r="B860" t="str">
            <v>VAR_fin</v>
          </cell>
          <cell r="C860" t="str">
            <v>RHEMELCHPC</v>
          </cell>
          <cell r="D860">
            <v>9.9025926032798388</v>
          </cell>
          <cell r="E860">
            <v>11.655241378147105</v>
          </cell>
          <cell r="F860">
            <v>10.98744290423079</v>
          </cell>
          <cell r="G860">
            <v>19.481066363989797</v>
          </cell>
          <cell r="H860">
            <v>25.10692879538669</v>
          </cell>
          <cell r="I860">
            <v>21.613939690974171</v>
          </cell>
        </row>
        <row r="861">
          <cell r="A861" t="str">
            <v>RHEM-SHELCHP</v>
          </cell>
          <cell r="B861" t="str">
            <v>VAR_fin</v>
          </cell>
          <cell r="C861" t="str">
            <v>RHEM_ELC</v>
          </cell>
          <cell r="D861">
            <v>3.0945601885249507</v>
          </cell>
          <cell r="E861">
            <v>3.5825537022993248</v>
          </cell>
          <cell r="F861">
            <v>3.4597001114044152</v>
          </cell>
          <cell r="G861">
            <v>5.5337333411518292</v>
          </cell>
          <cell r="H861">
            <v>6.5174625684027552</v>
          </cell>
          <cell r="I861">
            <v>5.1187837255635849</v>
          </cell>
        </row>
        <row r="862">
          <cell r="A862" t="str">
            <v>RHEM-SHELCHP</v>
          </cell>
          <cell r="B862" t="str">
            <v>VAR_ncap</v>
          </cell>
          <cell r="C862" t="str">
            <v>-</v>
          </cell>
          <cell r="D862">
            <v>4.5115104118202298E-5</v>
          </cell>
          <cell r="E862">
            <v>0.123722298081456</v>
          </cell>
          <cell r="F862">
            <v>2.3060571691444801E-5</v>
          </cell>
          <cell r="G862">
            <v>0.55281276492581</v>
          </cell>
          <cell r="H862">
            <v>0.63553226646457905</v>
          </cell>
          <cell r="I862">
            <v>0.743710636403626</v>
          </cell>
        </row>
        <row r="863">
          <cell r="A863" t="str">
            <v>RHEM-SHELCHP</v>
          </cell>
          <cell r="B863" t="str">
            <v>VAR_cap</v>
          </cell>
          <cell r="C863" t="str">
            <v>-</v>
          </cell>
          <cell r="D863">
            <v>0.69929706549611725</v>
          </cell>
          <cell r="E863">
            <v>0.82301854460193402</v>
          </cell>
          <cell r="F863">
            <v>0.82303560935150555</v>
          </cell>
          <cell r="G863">
            <v>1.3758477996514282</v>
          </cell>
          <cell r="H863">
            <v>1.7732656498353181</v>
          </cell>
          <cell r="I863">
            <v>1.5264834192490002</v>
          </cell>
        </row>
        <row r="864">
          <cell r="A864" t="str">
            <v>RHNM-SHSTG-ELC</v>
          </cell>
          <cell r="B864" t="str">
            <v>VAR_fout</v>
          </cell>
          <cell r="C864" t="str">
            <v>RHNM-SHAELCB</v>
          </cell>
          <cell r="E864">
            <v>1.8641253808348453E-5</v>
          </cell>
          <cell r="F864">
            <v>2.5836965848647976E-5</v>
          </cell>
          <cell r="G864">
            <v>3.6972303987759279E-5</v>
          </cell>
          <cell r="H864">
            <v>5.0915521779421796E-5</v>
          </cell>
          <cell r="I864">
            <v>5.8077126254272099E-5</v>
          </cell>
        </row>
        <row r="865">
          <cell r="A865" t="str">
            <v>RHNM-SHSTG-ELC</v>
          </cell>
          <cell r="B865" t="str">
            <v>VAR_fin</v>
          </cell>
          <cell r="C865" t="str">
            <v>RHNM-SHAELCB</v>
          </cell>
          <cell r="E865">
            <v>3.5733092108832139E-6</v>
          </cell>
          <cell r="F865">
            <v>3.2990420379932948E-6</v>
          </cell>
          <cell r="G865">
            <v>1.3835157786765894E-5</v>
          </cell>
          <cell r="H865">
            <v>3.5996873398481982E-5</v>
          </cell>
          <cell r="I865">
            <v>5.2849653276216476E-5</v>
          </cell>
        </row>
        <row r="866">
          <cell r="A866" t="str">
            <v>RHNM-SHSTG-ELC</v>
          </cell>
          <cell r="B866" t="str">
            <v>VAR_ncap</v>
          </cell>
          <cell r="C866" t="str">
            <v>-</v>
          </cell>
          <cell r="D866">
            <v>8.7745483737806604E-4</v>
          </cell>
          <cell r="E866">
            <v>2.69968853449634E-3</v>
          </cell>
          <cell r="F866">
            <v>5.2415739824075095E-4</v>
          </cell>
          <cell r="G866">
            <v>5.5441394570123598E-4</v>
          </cell>
          <cell r="H866">
            <v>4.2677510301304602E-4</v>
          </cell>
          <cell r="I866">
            <v>3.2000388506780802E-4</v>
          </cell>
        </row>
        <row r="867">
          <cell r="A867" t="str">
            <v>RHNM-SHSTG-ELC</v>
          </cell>
          <cell r="B867" t="str">
            <v>VAR_cap</v>
          </cell>
          <cell r="C867" t="str">
            <v>-</v>
          </cell>
          <cell r="D867">
            <v>8.7745483737806604E-4</v>
          </cell>
          <cell r="E867">
            <v>3.5055889231238127E-3</v>
          </cell>
          <cell r="F867">
            <v>3.5365177580484845E-3</v>
          </cell>
          <cell r="G867">
            <v>3.52844196555923E-3</v>
          </cell>
          <cell r="H867">
            <v>1.621605109475995E-3</v>
          </cell>
          <cell r="I867">
            <v>6.8516795456633091E-4</v>
          </cell>
        </row>
        <row r="868">
          <cell r="A868" t="str">
            <v>D-RWOD</v>
          </cell>
          <cell r="B868" t="str">
            <v>VAR_fout</v>
          </cell>
          <cell r="C868" t="str">
            <v>RWOD</v>
          </cell>
          <cell r="D868">
            <v>13.72305505348508</v>
          </cell>
          <cell r="E868">
            <v>14.928224663102261</v>
          </cell>
          <cell r="F868">
            <v>16.22433972903767</v>
          </cell>
          <cell r="G868">
            <v>12.990416174133909</v>
          </cell>
          <cell r="H868">
            <v>7.6672128106283761</v>
          </cell>
          <cell r="I868">
            <v>3.301626820985089</v>
          </cell>
        </row>
        <row r="869">
          <cell r="A869" t="str">
            <v>D-RWOD</v>
          </cell>
          <cell r="B869" t="str">
            <v>VAR_fin</v>
          </cell>
          <cell r="C869" t="str">
            <v>WOD</v>
          </cell>
          <cell r="D869">
            <v>13.72305505348508</v>
          </cell>
          <cell r="E869">
            <v>14.928224663102261</v>
          </cell>
          <cell r="F869">
            <v>16.22433972903767</v>
          </cell>
          <cell r="G869">
            <v>12.990416174133909</v>
          </cell>
          <cell r="H869">
            <v>7.6672128106283761</v>
          </cell>
          <cell r="I869">
            <v>3.301626820985089</v>
          </cell>
        </row>
        <row r="870">
          <cell r="A870" t="str">
            <v>RHNS-SHLTHCHPWOD</v>
          </cell>
          <cell r="B870" t="str">
            <v>VAR_ncap</v>
          </cell>
          <cell r="C870" t="str">
            <v>-</v>
          </cell>
          <cell r="G870">
            <v>3.5004215880859801E-4</v>
          </cell>
          <cell r="H870">
            <v>1.15026688752532E-3</v>
          </cell>
          <cell r="I870">
            <v>4.4252306764009302E-4</v>
          </cell>
        </row>
        <row r="871">
          <cell r="A871" t="str">
            <v>RHNS-SHLTHCHPWOD</v>
          </cell>
          <cell r="B871" t="str">
            <v>VAR_cap</v>
          </cell>
          <cell r="C871" t="str">
            <v>-</v>
          </cell>
          <cell r="G871">
            <v>3.5004215880859801E-4</v>
          </cell>
          <cell r="H871">
            <v>1.9635869399776597E-3</v>
          </cell>
          <cell r="I871">
            <v>8.2160288908793982E-4</v>
          </cell>
        </row>
        <row r="872">
          <cell r="A872" t="str">
            <v>RHNM-SHELCBR</v>
          </cell>
          <cell r="B872" t="str">
            <v>VAR_fout</v>
          </cell>
          <cell r="C872" t="str">
            <v>RHNM-SHAELCB</v>
          </cell>
          <cell r="E872">
            <v>0.15440237071643781</v>
          </cell>
          <cell r="F872">
            <v>7.0721029716229358E-4</v>
          </cell>
          <cell r="G872">
            <v>1.087794229687756E-3</v>
          </cell>
          <cell r="H872">
            <v>1.1046926924515197E-3</v>
          </cell>
          <cell r="I872">
            <v>8.5460207064842406E-4</v>
          </cell>
        </row>
        <row r="873">
          <cell r="A873" t="str">
            <v>RHNM-SHELCBR</v>
          </cell>
          <cell r="B873" t="str">
            <v>VAR_fin</v>
          </cell>
          <cell r="C873" t="str">
            <v>RHNM_ELC</v>
          </cell>
          <cell r="E873">
            <v>0.16252881128046087</v>
          </cell>
          <cell r="F873">
            <v>7.4443189174978278E-4</v>
          </cell>
          <cell r="G873">
            <v>1.1450465575660593E-3</v>
          </cell>
          <cell r="H873">
            <v>1.1628344131068638E-3</v>
          </cell>
          <cell r="I873">
            <v>8.9958112699834131E-4</v>
          </cell>
        </row>
        <row r="874">
          <cell r="A874" t="str">
            <v>RHNM-SHELCBR</v>
          </cell>
          <cell r="B874" t="str">
            <v>VAR_ncap</v>
          </cell>
          <cell r="C874" t="str">
            <v>-</v>
          </cell>
          <cell r="E874">
            <v>1.5051498450098901E-2</v>
          </cell>
        </row>
        <row r="875">
          <cell r="A875" t="str">
            <v>RHNM-SHELCBR</v>
          </cell>
          <cell r="B875" t="str">
            <v>VAR_cap</v>
          </cell>
          <cell r="C875" t="str">
            <v>-</v>
          </cell>
          <cell r="E875">
            <v>1.5051498450098901E-2</v>
          </cell>
          <cell r="F875">
            <v>1.5034077025456213E-2</v>
          </cell>
          <cell r="G875">
            <v>1.4991966811847517E-2</v>
          </cell>
          <cell r="H875">
            <v>6.8910217911813607E-3</v>
          </cell>
          <cell r="I875">
            <v>2.9076706698335335E-3</v>
          </cell>
        </row>
        <row r="876">
          <cell r="A876" t="str">
            <v>RHNS-SHSTG-NGAHP</v>
          </cell>
          <cell r="B876" t="str">
            <v>VAR_fout</v>
          </cell>
          <cell r="C876" t="str">
            <v>RHNS-SHANGAH</v>
          </cell>
          <cell r="F876">
            <v>9.036912237879469E-3</v>
          </cell>
          <cell r="G876">
            <v>4.1484238899982644E-2</v>
          </cell>
          <cell r="H876">
            <v>6.1048625761011867E-2</v>
          </cell>
          <cell r="I876">
            <v>7.037336175981683E-2</v>
          </cell>
        </row>
        <row r="877">
          <cell r="A877" t="str">
            <v>RHNS-SHSTG-NGAHP</v>
          </cell>
          <cell r="B877" t="str">
            <v>VAR_fin</v>
          </cell>
          <cell r="C877" t="str">
            <v>RHNS-SHANGAH</v>
          </cell>
          <cell r="F877">
            <v>9.1129860172335549E-3</v>
          </cell>
          <cell r="G877">
            <v>4.153326078099813E-2</v>
          </cell>
          <cell r="H877">
            <v>6.1068047694599024E-2</v>
          </cell>
          <cell r="I877">
            <v>7.0423451296745668E-2</v>
          </cell>
        </row>
        <row r="878">
          <cell r="A878" t="str">
            <v>RHNS-SHSTG-NGAHP</v>
          </cell>
          <cell r="B878" t="str">
            <v>VAR_ncap</v>
          </cell>
          <cell r="C878" t="str">
            <v>-</v>
          </cell>
          <cell r="D878">
            <v>1.17350673498291E-4</v>
          </cell>
          <cell r="E878">
            <v>4.3457422950155097E-5</v>
          </cell>
          <cell r="F878">
            <v>2.6810175498672502E-3</v>
          </cell>
          <cell r="G878">
            <v>7.2360925415220403E-3</v>
          </cell>
          <cell r="H878">
            <v>7.4780838634731497E-3</v>
          </cell>
          <cell r="I878">
            <v>8.9881151859453508E-3</v>
          </cell>
        </row>
        <row r="879">
          <cell r="A879" t="str">
            <v>RHNS-SHSTG-NGAHP</v>
          </cell>
          <cell r="B879" t="str">
            <v>VAR_cap</v>
          </cell>
          <cell r="C879" t="str">
            <v>-</v>
          </cell>
          <cell r="D879">
            <v>1.17350673498291E-4</v>
          </cell>
          <cell r="E879">
            <v>3.1501118994789901E-6</v>
          </cell>
          <cell r="F879">
            <v>2.6587889871064487E-3</v>
          </cell>
          <cell r="G879">
            <v>9.8021144654282175E-3</v>
          </cell>
          <cell r="H879">
            <v>1.6451759408389444E-2</v>
          </cell>
          <cell r="I879">
            <v>1.5812862156724502E-2</v>
          </cell>
        </row>
        <row r="880">
          <cell r="A880" t="str">
            <v>RHNS-SHLTHDH</v>
          </cell>
          <cell r="B880" t="str">
            <v>VAR_fout</v>
          </cell>
          <cell r="C880" t="str">
            <v>RHNS-SHLTHD</v>
          </cell>
          <cell r="E880">
            <v>5.397910610184195E-2</v>
          </cell>
          <cell r="F880">
            <v>7.4083216465668331E-2</v>
          </cell>
          <cell r="G880">
            <v>0.11413085922183824</v>
          </cell>
          <cell r="H880">
            <v>0.15462098128015561</v>
          </cell>
          <cell r="I880">
            <v>0.25879750889945474</v>
          </cell>
        </row>
        <row r="881">
          <cell r="A881" t="str">
            <v>RHNS-SHLTHDH</v>
          </cell>
          <cell r="B881" t="str">
            <v>VAR_fin</v>
          </cell>
          <cell r="C881" t="str">
            <v>RHNS_LTH_DH</v>
          </cell>
          <cell r="E881">
            <v>5.4524349597820154E-2</v>
          </cell>
          <cell r="F881">
            <v>8.1846183007682718E-2</v>
          </cell>
          <cell r="G881">
            <v>0.12586594993773115</v>
          </cell>
          <cell r="H881">
            <v>0.17010214021814654</v>
          </cell>
          <cell r="I881">
            <v>0.28470916289917514</v>
          </cell>
        </row>
        <row r="882">
          <cell r="A882" t="str">
            <v>RHNS-SHLTHDH</v>
          </cell>
          <cell r="B882" t="str">
            <v>VAR_fin</v>
          </cell>
          <cell r="C882" t="str">
            <v>RHNSLTHDHC</v>
          </cell>
          <cell r="E882">
            <v>5.397910610184195E-2</v>
          </cell>
          <cell r="F882">
            <v>7.4083216465668331E-2</v>
          </cell>
          <cell r="G882">
            <v>0.11413085922183824</v>
          </cell>
          <cell r="H882">
            <v>0.15462098128015561</v>
          </cell>
          <cell r="I882">
            <v>0.25879750889945474</v>
          </cell>
        </row>
        <row r="883">
          <cell r="A883" t="str">
            <v>RHNS-SHLTHDH</v>
          </cell>
          <cell r="B883" t="str">
            <v>VAR_ncap</v>
          </cell>
          <cell r="C883" t="str">
            <v>-</v>
          </cell>
          <cell r="E883">
            <v>1.2165610518644E-2</v>
          </cell>
          <cell r="F883">
            <v>1.9044399597102399E-2</v>
          </cell>
          <cell r="G883">
            <v>2.03821497504568E-2</v>
          </cell>
          <cell r="H883">
            <v>1.30680259155855E-2</v>
          </cell>
          <cell r="I883">
            <v>9.6282847558075892E-3</v>
          </cell>
        </row>
        <row r="884">
          <cell r="A884" t="str">
            <v>RHNS-SHLTHDH</v>
          </cell>
          <cell r="B884" t="str">
            <v>VAR_cap</v>
          </cell>
          <cell r="C884" t="str">
            <v>-</v>
          </cell>
          <cell r="E884">
            <v>1.2165610518644E-2</v>
          </cell>
          <cell r="F884">
            <v>2.5361817023665578E-2</v>
          </cell>
          <cell r="G884">
            <v>3.2658009452674504E-2</v>
          </cell>
          <cell r="H884">
            <v>2.9986142532870297E-2</v>
          </cell>
          <cell r="I884">
            <v>2.1971262082346898E-2</v>
          </cell>
        </row>
        <row r="885">
          <cell r="A885" t="str">
            <v>ITOT-SWHNGAHP</v>
          </cell>
          <cell r="B885" t="str">
            <v>VAR_fout</v>
          </cell>
          <cell r="C885" t="str">
            <v>ITOT-SWHANGAH</v>
          </cell>
          <cell r="F885">
            <v>3.0460893840423896E-2</v>
          </cell>
          <cell r="G885">
            <v>2.7539927725635746E-5</v>
          </cell>
          <cell r="H885">
            <v>1.2865258241037965E-2</v>
          </cell>
          <cell r="I885">
            <v>4.5972694871145359E-2</v>
          </cell>
        </row>
        <row r="886">
          <cell r="A886" t="str">
            <v>ITOT-SWHNGAHP</v>
          </cell>
          <cell r="B886" t="str">
            <v>VAR_fout</v>
          </cell>
          <cell r="C886" t="str">
            <v>CO2_I</v>
          </cell>
          <cell r="F886">
            <v>0.911197887128261</v>
          </cell>
          <cell r="G886">
            <v>8.0803425546671897E-4</v>
          </cell>
          <cell r="H886">
            <v>0.36353974399726902</v>
          </cell>
          <cell r="I886">
            <v>1.25282918094791</v>
          </cell>
        </row>
        <row r="887">
          <cell r="A887" t="str">
            <v>ITOT-SWHNGAHP</v>
          </cell>
          <cell r="B887" t="str">
            <v>VAR_fin</v>
          </cell>
          <cell r="C887" t="str">
            <v>ITOTELCHPC</v>
          </cell>
          <cell r="F887">
            <v>3.0460893840423896E-2</v>
          </cell>
          <cell r="G887">
            <v>2.7539927725635746E-5</v>
          </cell>
          <cell r="H887">
            <v>1.2865258241037965E-2</v>
          </cell>
          <cell r="I887">
            <v>4.5972694871145359E-2</v>
          </cell>
        </row>
        <row r="888">
          <cell r="A888" t="str">
            <v>ITOT-SWHNGAHP</v>
          </cell>
          <cell r="B888" t="str">
            <v>VAR_fin</v>
          </cell>
          <cell r="C888" t="str">
            <v>INGA</v>
          </cell>
          <cell r="F888">
            <v>1.6155990906529461E-2</v>
          </cell>
          <cell r="G888">
            <v>1.4326848501182952E-5</v>
          </cell>
          <cell r="H888">
            <v>6.445740141795552E-3</v>
          </cell>
          <cell r="I888">
            <v>2.2213283350140261E-2</v>
          </cell>
        </row>
        <row r="889">
          <cell r="A889" t="str">
            <v>ITOT-SWHNGAHP</v>
          </cell>
          <cell r="B889" t="str">
            <v>VAR_ncap</v>
          </cell>
          <cell r="C889" t="str">
            <v>-</v>
          </cell>
          <cell r="E889">
            <v>2.7428040590298701E-3</v>
          </cell>
          <cell r="F889">
            <v>1.38535353422897E-5</v>
          </cell>
          <cell r="G889">
            <v>4.1344270345934899E-6</v>
          </cell>
          <cell r="H889">
            <v>1.0289680044370301E-3</v>
          </cell>
          <cell r="I889">
            <v>2.8224051817509802E-3</v>
          </cell>
        </row>
        <row r="890">
          <cell r="A890" t="str">
            <v>ITOT-SWHNGAHP</v>
          </cell>
          <cell r="B890" t="str">
            <v>VAR_cap</v>
          </cell>
          <cell r="C890" t="str">
            <v>-</v>
          </cell>
          <cell r="E890">
            <v>2.7428040590298701E-3</v>
          </cell>
          <cell r="F890">
            <v>2.7418211961266342E-3</v>
          </cell>
          <cell r="G890">
            <v>3.1038523654798068E-6</v>
          </cell>
          <cell r="H890">
            <v>1.3620257399260234E-3</v>
          </cell>
          <cell r="I890">
            <v>3.685801235910884E-3</v>
          </cell>
        </row>
        <row r="891">
          <cell r="A891" t="str">
            <v>RHSA-WHLFOBR</v>
          </cell>
          <cell r="B891" t="str">
            <v>VAR_fout</v>
          </cell>
          <cell r="C891" t="str">
            <v>CO2_R</v>
          </cell>
          <cell r="D891">
            <v>726.71551211018402</v>
          </cell>
          <cell r="E891">
            <v>572.01170360096501</v>
          </cell>
          <cell r="F891">
            <v>633.54982050389106</v>
          </cell>
          <cell r="G891">
            <v>248.34322590515001</v>
          </cell>
          <cell r="H891">
            <v>50.549984536065097</v>
          </cell>
          <cell r="I891">
            <v>1.9193417149936101</v>
          </cell>
        </row>
        <row r="892">
          <cell r="A892" t="str">
            <v>RHSA-WHLFOBR</v>
          </cell>
          <cell r="B892" t="str">
            <v>VAR_fout</v>
          </cell>
          <cell r="C892" t="str">
            <v>RHSA-WHLFO</v>
          </cell>
          <cell r="D892">
            <v>6.984488752755051</v>
          </cell>
          <cell r="E892">
            <v>5.5461333767280339</v>
          </cell>
          <cell r="F892">
            <v>4.3145981918473693</v>
          </cell>
          <cell r="G892">
            <v>1.8172278868569736</v>
          </cell>
          <cell r="H892">
            <v>0.38301455600446077</v>
          </cell>
          <cell r="I892">
            <v>1.5432785211889472E-2</v>
          </cell>
        </row>
        <row r="893">
          <cell r="A893" t="str">
            <v>RHSA-WHLFOBR</v>
          </cell>
          <cell r="B893" t="str">
            <v>VAR_fin</v>
          </cell>
          <cell r="C893" t="str">
            <v>RLFO</v>
          </cell>
          <cell r="D893">
            <v>9.8604547097718402</v>
          </cell>
          <cell r="E893">
            <v>7.7613528304065778</v>
          </cell>
          <cell r="F893">
            <v>8.5963340638248447</v>
          </cell>
          <cell r="G893">
            <v>3.3696502836519739</v>
          </cell>
          <cell r="H893">
            <v>0.68588852830481739</v>
          </cell>
          <cell r="I893">
            <v>2.6042628425964807E-2</v>
          </cell>
        </row>
        <row r="894">
          <cell r="A894" t="str">
            <v>RHSA-WHLFOBR</v>
          </cell>
          <cell r="B894" t="str">
            <v>VAR_ncap</v>
          </cell>
          <cell r="C894" t="str">
            <v>-</v>
          </cell>
          <cell r="E894">
            <v>6.7570223654735596E-6</v>
          </cell>
          <cell r="F894">
            <v>2.0028845520042798E-6</v>
          </cell>
          <cell r="G894">
            <v>4.0275381886873901E-6</v>
          </cell>
          <cell r="H894">
            <v>2.7439886869065399E-5</v>
          </cell>
        </row>
        <row r="895">
          <cell r="A895" t="str">
            <v>RHSA-WHLFOBR</v>
          </cell>
          <cell r="B895" t="str">
            <v>VAR_cap</v>
          </cell>
          <cell r="C895" t="str">
            <v>-</v>
          </cell>
          <cell r="D895">
            <v>0.47738433216181703</v>
          </cell>
          <cell r="E895">
            <v>0.47737158827150994</v>
          </cell>
          <cell r="F895">
            <v>0.33201785238123349</v>
          </cell>
          <cell r="G895">
            <v>0.22497404695189122</v>
          </cell>
          <cell r="H895">
            <v>2.6310837773166996E-2</v>
          </cell>
          <cell r="I895">
            <v>1.5917055602028708E-3</v>
          </cell>
        </row>
        <row r="896">
          <cell r="A896" t="str">
            <v>D-IWST</v>
          </cell>
          <cell r="B896" t="str">
            <v>VAR_fout</v>
          </cell>
          <cell r="C896" t="str">
            <v>CO2</v>
          </cell>
          <cell r="D896">
            <v>1068.13101199579</v>
          </cell>
          <cell r="E896">
            <v>1094.4824590978401</v>
          </cell>
          <cell r="F896">
            <v>1024.6428186840801</v>
          </cell>
          <cell r="G896">
            <v>1045.95683309333</v>
          </cell>
          <cell r="H896">
            <v>996.69825898757995</v>
          </cell>
          <cell r="I896">
            <v>986.58592458571798</v>
          </cell>
        </row>
        <row r="897">
          <cell r="A897" t="str">
            <v>D-IWST</v>
          </cell>
          <cell r="B897" t="str">
            <v>VAR_fout</v>
          </cell>
          <cell r="C897" t="str">
            <v>IWST</v>
          </cell>
          <cell r="D897">
            <v>11.510032456851171</v>
          </cell>
          <cell r="E897">
            <v>11.793992016140489</v>
          </cell>
          <cell r="F897">
            <v>11.041409684095688</v>
          </cell>
          <cell r="G897">
            <v>11.271086563505687</v>
          </cell>
          <cell r="H897">
            <v>10.740282963228234</v>
          </cell>
          <cell r="I897">
            <v>10.631313842518516</v>
          </cell>
        </row>
        <row r="898">
          <cell r="A898" t="str">
            <v>D-IWST</v>
          </cell>
          <cell r="B898" t="str">
            <v>VAR_fin</v>
          </cell>
          <cell r="C898" t="str">
            <v>WSTNREN</v>
          </cell>
          <cell r="D898">
            <v>11.510032456851171</v>
          </cell>
          <cell r="E898">
            <v>11.793992016140489</v>
          </cell>
          <cell r="F898">
            <v>11.041409684095688</v>
          </cell>
          <cell r="G898">
            <v>11.271086563505687</v>
          </cell>
          <cell r="H898">
            <v>10.740282963228234</v>
          </cell>
          <cell r="I898">
            <v>10.631313842518516</v>
          </cell>
        </row>
        <row r="899">
          <cell r="A899" t="str">
            <v>RHES-SHLFOBR</v>
          </cell>
          <cell r="B899" t="str">
            <v>VAR_fout</v>
          </cell>
          <cell r="C899" t="str">
            <v>CO2_R</v>
          </cell>
          <cell r="D899">
            <v>1783.6650522391999</v>
          </cell>
          <cell r="E899">
            <v>1640.96906193465</v>
          </cell>
          <cell r="F899">
            <v>1193.49821759677</v>
          </cell>
          <cell r="G899">
            <v>508.34761362930902</v>
          </cell>
          <cell r="H899">
            <v>54.288349786482598</v>
          </cell>
          <cell r="I899">
            <v>3.6262122164232502</v>
          </cell>
        </row>
        <row r="900">
          <cell r="A900" t="str">
            <v>RHES-SHLFOBR</v>
          </cell>
          <cell r="B900" t="str">
            <v>VAR_fout</v>
          </cell>
          <cell r="C900" t="str">
            <v>RHES-SHLFO</v>
          </cell>
          <cell r="D900">
            <v>21.680686693319096</v>
          </cell>
          <cell r="E900">
            <v>19.946197892127454</v>
          </cell>
          <cell r="F900">
            <v>13.682759610811308</v>
          </cell>
          <cell r="G900">
            <v>5.9522309904898441</v>
          </cell>
          <cell r="H900">
            <v>0.6344181102512253</v>
          </cell>
          <cell r="I900">
            <v>4.2442942047695172E-2</v>
          </cell>
        </row>
        <row r="901">
          <cell r="A901" t="str">
            <v>RHES-SHLFOBR</v>
          </cell>
          <cell r="B901" t="str">
            <v>VAR_fin</v>
          </cell>
          <cell r="C901" t="str">
            <v>RLFO</v>
          </cell>
          <cell r="D901">
            <v>24.201696773937545</v>
          </cell>
          <cell r="E901">
            <v>22.265523228421316</v>
          </cell>
          <cell r="F901">
            <v>16.194005666170611</v>
          </cell>
          <cell r="G901">
            <v>6.8975252866934733</v>
          </cell>
          <cell r="H901">
            <v>0.73661261582744242</v>
          </cell>
          <cell r="I901">
            <v>4.9202336722160712E-2</v>
          </cell>
        </row>
        <row r="902">
          <cell r="A902" t="str">
            <v>RHES-SHLFOBR</v>
          </cell>
          <cell r="B902" t="str">
            <v>VAR_ncap</v>
          </cell>
          <cell r="C902" t="str">
            <v>-</v>
          </cell>
          <cell r="E902">
            <v>3.0217222938342699E-6</v>
          </cell>
          <cell r="F902">
            <v>1.0061288847202299E-6</v>
          </cell>
          <cell r="G902">
            <v>2.5770701281932501E-6</v>
          </cell>
          <cell r="H902">
            <v>5.1070496296151902E-2</v>
          </cell>
          <cell r="I902">
            <v>7.8406742589206602E-7</v>
          </cell>
        </row>
        <row r="903">
          <cell r="A903" t="str">
            <v>RHES-SHLFOBR</v>
          </cell>
          <cell r="B903" t="str">
            <v>VAR_cap</v>
          </cell>
          <cell r="C903" t="str">
            <v>-</v>
          </cell>
          <cell r="D903">
            <v>1.7515307393373001</v>
          </cell>
          <cell r="E903">
            <v>1.7511229650457851</v>
          </cell>
          <cell r="F903">
            <v>1.1294747383010306</v>
          </cell>
          <cell r="G903">
            <v>1.006160694941566</v>
          </cell>
          <cell r="H903">
            <v>5.1382020189526978E-2</v>
          </cell>
          <cell r="I903">
            <v>5.5792724236374963E-3</v>
          </cell>
        </row>
        <row r="904">
          <cell r="A904" t="str">
            <v>ITOT-SWHSTG</v>
          </cell>
          <cell r="B904" t="str">
            <v>VAR_fout</v>
          </cell>
          <cell r="C904" t="str">
            <v>ITOT-SWH</v>
          </cell>
          <cell r="D904">
            <v>2.7197522504958819E-5</v>
          </cell>
          <cell r="E904">
            <v>2.3635969626918957E-3</v>
          </cell>
          <cell r="F904">
            <v>2.6273374782378484E-2</v>
          </cell>
          <cell r="G904">
            <v>4.76732195667218E-4</v>
          </cell>
          <cell r="H904">
            <v>0.1342439178845026</v>
          </cell>
          <cell r="I904">
            <v>1.2519547619058571</v>
          </cell>
        </row>
        <row r="905">
          <cell r="A905" t="str">
            <v>ITOT-SWHSTG</v>
          </cell>
          <cell r="B905" t="str">
            <v>VAR_fout</v>
          </cell>
          <cell r="C905" t="str">
            <v>AUX_ITOT-STG_OUT</v>
          </cell>
          <cell r="D905">
            <v>2.7197522504958775E-5</v>
          </cell>
          <cell r="E905">
            <v>2.3616666093968547E-3</v>
          </cell>
          <cell r="F905">
            <v>2.6239862824747898E-2</v>
          </cell>
          <cell r="G905">
            <v>4.7673219566721865E-4</v>
          </cell>
          <cell r="H905">
            <v>0.13424391788450271</v>
          </cell>
          <cell r="I905">
            <v>1.2519547619058573</v>
          </cell>
        </row>
        <row r="906">
          <cell r="A906" t="str">
            <v>ITOT-SWHSTG</v>
          </cell>
          <cell r="B906" t="str">
            <v>VAR_fin</v>
          </cell>
          <cell r="C906" t="str">
            <v>AUX_ITOT-STG_IN</v>
          </cell>
          <cell r="D906">
            <v>3.3577196463197653E-5</v>
          </cell>
          <cell r="E906">
            <v>2.8753903544843228E-3</v>
          </cell>
          <cell r="F906">
            <v>3.1277827110470717E-2</v>
          </cell>
          <cell r="G906">
            <v>5.4796805678481309E-4</v>
          </cell>
          <cell r="H906">
            <v>0.14434829882944253</v>
          </cell>
          <cell r="I906">
            <v>1.2646007569462177</v>
          </cell>
        </row>
        <row r="907">
          <cell r="A907" t="str">
            <v>ITOT-SWHSTG</v>
          </cell>
          <cell r="B907" t="str">
            <v>VAR_fin</v>
          </cell>
          <cell r="C907" t="str">
            <v>ITOT-SWH</v>
          </cell>
          <cell r="D907">
            <v>3.3577196463197653E-5</v>
          </cell>
          <cell r="E907">
            <v>2.8753903544843228E-3</v>
          </cell>
          <cell r="F907">
            <v>3.1277827110470717E-2</v>
          </cell>
          <cell r="G907">
            <v>5.4796805678481309E-4</v>
          </cell>
          <cell r="H907">
            <v>0.14434829882944253</v>
          </cell>
          <cell r="I907">
            <v>1.2646007569462177</v>
          </cell>
        </row>
        <row r="908">
          <cell r="A908" t="str">
            <v>ITOT-SWHSTG</v>
          </cell>
          <cell r="B908" t="str">
            <v>VAR_ncap</v>
          </cell>
          <cell r="C908" t="str">
            <v>-</v>
          </cell>
          <cell r="D908">
            <v>9.2246130080881894E-3</v>
          </cell>
          <cell r="E908">
            <v>6.3456221210835603E-5</v>
          </cell>
          <cell r="F908">
            <v>8.3755191074136697E-5</v>
          </cell>
          <cell r="G908">
            <v>4.9249869281491301E-5</v>
          </cell>
          <cell r="H908">
            <v>8.2171865042722104E-3</v>
          </cell>
          <cell r="I908">
            <v>0.33834147804635001</v>
          </cell>
        </row>
        <row r="909">
          <cell r="A909" t="str">
            <v>ITOT-SWHSTG</v>
          </cell>
          <cell r="B909" t="str">
            <v>VAR_cap</v>
          </cell>
          <cell r="C909" t="str">
            <v>-</v>
          </cell>
          <cell r="D909">
            <v>9.2246130080881894E-3</v>
          </cell>
          <cell r="E909">
            <v>9.2812879343464414E-3</v>
          </cell>
          <cell r="F909">
            <v>9.3481128351696856E-3</v>
          </cell>
          <cell r="G909">
            <v>9.3549220224595289E-3</v>
          </cell>
          <cell r="H909">
            <v>3.0215705307390369E-2</v>
          </cell>
          <cell r="I909">
            <v>0.35354829576917823</v>
          </cell>
        </row>
        <row r="910">
          <cell r="A910" t="str">
            <v>SCOM-SHLFOBR</v>
          </cell>
          <cell r="B910" t="str">
            <v>VAR_fout</v>
          </cell>
          <cell r="C910" t="str">
            <v>CO2_S</v>
          </cell>
          <cell r="D910">
            <v>2229.9150876947101</v>
          </cell>
          <cell r="E910">
            <v>2052.0676607641299</v>
          </cell>
          <cell r="F910">
            <v>1797.0371835861899</v>
          </cell>
          <cell r="G910">
            <v>900.72087938634502</v>
          </cell>
          <cell r="H910">
            <v>169.79029922658501</v>
          </cell>
          <cell r="I910">
            <v>5.6554600051981598</v>
          </cell>
        </row>
        <row r="911">
          <cell r="A911" t="str">
            <v>SCOM-SHLFOBR</v>
          </cell>
          <cell r="B911" t="str">
            <v>VAR_fout</v>
          </cell>
          <cell r="C911" t="str">
            <v>SCOM-SHLFO</v>
          </cell>
          <cell r="D911">
            <v>24.843082527793097</v>
          </cell>
          <cell r="E911">
            <v>22.906987088708437</v>
          </cell>
          <cell r="F911">
            <v>19.220258719932175</v>
          </cell>
          <cell r="G911">
            <v>9.98060342119037</v>
          </cell>
          <cell r="H911">
            <v>1.8813926490749429</v>
          </cell>
          <cell r="I911">
            <v>6.311766907788631E-2</v>
          </cell>
        </row>
        <row r="912">
          <cell r="A912" t="str">
            <v>SCOM-SHLFOBR</v>
          </cell>
          <cell r="B912" t="str">
            <v>VAR_fin</v>
          </cell>
          <cell r="C912" t="str">
            <v>SLFO</v>
          </cell>
          <cell r="D912">
            <v>30.256649765192773</v>
          </cell>
          <cell r="E912">
            <v>27.843523212539019</v>
          </cell>
          <cell r="F912">
            <v>24.383136819351353</v>
          </cell>
          <cell r="G912">
            <v>12.221450195201431</v>
          </cell>
          <cell r="H912">
            <v>2.3038032459509425</v>
          </cell>
          <cell r="I912">
            <v>7.6736228021684588E-2</v>
          </cell>
        </row>
        <row r="913">
          <cell r="A913" t="str">
            <v>SCOM-SHLFOBR</v>
          </cell>
          <cell r="B913" t="str">
            <v>VAR_ncap</v>
          </cell>
          <cell r="C913" t="str">
            <v>-</v>
          </cell>
          <cell r="D913">
            <v>2.6352229887217299E-5</v>
          </cell>
          <cell r="E913">
            <v>1.80098340841687E-5</v>
          </cell>
          <cell r="F913">
            <v>9.3610043618365508E-6</v>
          </cell>
          <cell r="G913">
            <v>1.29656958275426E-5</v>
          </cell>
          <cell r="H913">
            <v>3.0366743360370899E-5</v>
          </cell>
          <cell r="I913">
            <v>2.7319391564466898E-6</v>
          </cell>
        </row>
        <row r="914">
          <cell r="A914" t="str">
            <v>SCOM-SHLFOBR</v>
          </cell>
          <cell r="B914" t="str">
            <v>VAR_cap</v>
          </cell>
          <cell r="C914" t="str">
            <v>-</v>
          </cell>
          <cell r="D914">
            <v>1.9286000094550071</v>
          </cell>
          <cell r="E914">
            <v>1.8880789075666868</v>
          </cell>
          <cell r="F914">
            <v>1.5203373225273902</v>
          </cell>
          <cell r="G914">
            <v>1.5173943681337236</v>
          </cell>
          <cell r="H914">
            <v>0.14919220084648196</v>
          </cell>
          <cell r="I914">
            <v>9.6963643518657994E-3</v>
          </cell>
        </row>
        <row r="915">
          <cell r="A915" t="str">
            <v>RHNM-SHPLTBR</v>
          </cell>
          <cell r="B915" t="str">
            <v>VAR_fout</v>
          </cell>
          <cell r="C915" t="str">
            <v>RHNM-SHPLT</v>
          </cell>
          <cell r="E915">
            <v>7.3542194644247175E-2</v>
          </cell>
        </row>
        <row r="916">
          <cell r="A916" t="str">
            <v>RHNM-SHPLTBR</v>
          </cell>
          <cell r="B916" t="str">
            <v>VAR_fin</v>
          </cell>
          <cell r="C916" t="str">
            <v>RPLT</v>
          </cell>
          <cell r="E916">
            <v>8.1713549604719063E-2</v>
          </cell>
        </row>
        <row r="917">
          <cell r="A917" t="str">
            <v>RHNM-SHPLTBR</v>
          </cell>
          <cell r="B917" t="str">
            <v>VAR_fin</v>
          </cell>
          <cell r="C917" t="str">
            <v>RHNMPLTBRC</v>
          </cell>
          <cell r="E917">
            <v>7.3542194644247175E-2</v>
          </cell>
        </row>
        <row r="918">
          <cell r="A918" t="str">
            <v>RHNM-SHPLTBR</v>
          </cell>
          <cell r="B918" t="str">
            <v>VAR_ncap</v>
          </cell>
          <cell r="C918" t="str">
            <v>-</v>
          </cell>
          <cell r="E918">
            <v>6.1183099317779696E-3</v>
          </cell>
          <cell r="F918">
            <v>2.0120757744381801E-6</v>
          </cell>
          <cell r="G918">
            <v>2.82981469603839E-6</v>
          </cell>
          <cell r="H918">
            <v>4.7643148453956396E-6</v>
          </cell>
          <cell r="I918">
            <v>2.68589278039117E-6</v>
          </cell>
        </row>
        <row r="919">
          <cell r="A919" t="str">
            <v>RHNM-SHPLTBR</v>
          </cell>
          <cell r="B919" t="str">
            <v>VAR_cap</v>
          </cell>
          <cell r="C919" t="str">
            <v>-</v>
          </cell>
          <cell r="E919">
            <v>6.1183099317779696E-3</v>
          </cell>
          <cell r="F919">
            <v>1.6643575011906012E-4</v>
          </cell>
          <cell r="G919">
            <v>7.8275774491620188E-5</v>
          </cell>
          <cell r="H919">
            <v>4.3720968854021192E-6</v>
          </cell>
          <cell r="I919">
            <v>3.23450305046949E-6</v>
          </cell>
        </row>
        <row r="920">
          <cell r="A920" t="str">
            <v>D-RHES_NKEV_GAS_ELC_CHP</v>
          </cell>
          <cell r="B920" t="str">
            <v>VAR_fout</v>
          </cell>
          <cell r="C920" t="str">
            <v>RHES_ELC</v>
          </cell>
          <cell r="D920">
            <v>1.62915708759565E-2</v>
          </cell>
          <cell r="E920">
            <v>7.2086668584544773E-4</v>
          </cell>
          <cell r="F920">
            <v>2.6920868311064365E-3</v>
          </cell>
          <cell r="G920">
            <v>2.531361489883654E-5</v>
          </cell>
          <cell r="H920">
            <v>7.8892397458301348E-3</v>
          </cell>
          <cell r="I920">
            <v>7.016082797192129E-3</v>
          </cell>
        </row>
        <row r="921">
          <cell r="A921" t="str">
            <v>D-RHES_NKEV_GAS_ELC_CHP</v>
          </cell>
          <cell r="B921" t="str">
            <v>VAR_fout</v>
          </cell>
          <cell r="C921" t="str">
            <v>ELC5</v>
          </cell>
          <cell r="D921">
            <v>1.6133691199898183E-2</v>
          </cell>
          <cell r="E921">
            <v>7.2067574099086301E-4</v>
          </cell>
          <cell r="F921">
            <v>2.6924732435039639E-3</v>
          </cell>
          <cell r="G921">
            <v>2.5359059061474274E-5</v>
          </cell>
          <cell r="H921">
            <v>7.9370045387585561E-3</v>
          </cell>
          <cell r="I921">
            <v>7.0303405564935469E-3</v>
          </cell>
        </row>
        <row r="922">
          <cell r="A922" t="str">
            <v>D-RHES_NKEV_GAS_ELC_CHP</v>
          </cell>
          <cell r="B922" t="str">
            <v>VAR_fin</v>
          </cell>
          <cell r="C922" t="str">
            <v>RHES_NKEV_GAS_ELC_CHP</v>
          </cell>
          <cell r="D922">
            <v>3.2425262075854687E-2</v>
          </cell>
          <cell r="E922">
            <v>1.441542426836311E-3</v>
          </cell>
          <cell r="F922">
            <v>5.3475296607987137E-3</v>
          </cell>
          <cell r="G922">
            <v>5.0672673960310803E-5</v>
          </cell>
          <cell r="H922">
            <v>1.5826244284588693E-2</v>
          </cell>
          <cell r="I922">
            <v>1.404642335368567E-2</v>
          </cell>
        </row>
        <row r="923">
          <cell r="A923" t="str">
            <v>SCOM-SHSTG-SOL</v>
          </cell>
          <cell r="B923" t="str">
            <v>VAR_fout</v>
          </cell>
          <cell r="C923" t="str">
            <v>SCOM-SHASOL</v>
          </cell>
          <cell r="D923">
            <v>1.8241056295568617E-4</v>
          </cell>
          <cell r="E923">
            <v>1.8842129057393956E-4</v>
          </cell>
          <cell r="F923">
            <v>1.1624529265062908E-4</v>
          </cell>
          <cell r="G923">
            <v>6.6346397867504559E-5</v>
          </cell>
          <cell r="H923">
            <v>1.4801841960862557E-4</v>
          </cell>
          <cell r="I923">
            <v>1.1793231540396517E-4</v>
          </cell>
        </row>
        <row r="924">
          <cell r="A924" t="str">
            <v>SCOM-SHSTG-SOL</v>
          </cell>
          <cell r="B924" t="str">
            <v>VAR_fin</v>
          </cell>
          <cell r="C924" t="str">
            <v>SCOM-SHASOL</v>
          </cell>
          <cell r="D924">
            <v>1.6768628575696676E-4</v>
          </cell>
          <cell r="E924">
            <v>1.8422837803359744E-4</v>
          </cell>
          <cell r="F924">
            <v>8.8205830943540809E-5</v>
          </cell>
          <cell r="G924">
            <v>2.5829565125786085E-5</v>
          </cell>
          <cell r="H924">
            <v>1.4014867386979529E-4</v>
          </cell>
          <cell r="I924">
            <v>8.9217537615900606E-5</v>
          </cell>
        </row>
        <row r="925">
          <cell r="A925" t="str">
            <v>SCOM-SHSTG-SOL</v>
          </cell>
          <cell r="B925" t="str">
            <v>VAR_ncap</v>
          </cell>
          <cell r="C925" t="str">
            <v>-</v>
          </cell>
          <cell r="D925">
            <v>2.3566588483975401E-2</v>
          </cell>
          <cell r="E925">
            <v>1.0016644448643001E-4</v>
          </cell>
          <cell r="F925">
            <v>9.1688490882360202E-6</v>
          </cell>
          <cell r="G925">
            <v>8.6262583311079808E-3</v>
          </cell>
          <cell r="H925">
            <v>2.0879752531087498E-2</v>
          </cell>
          <cell r="I925">
            <v>5.0288025506743099E-2</v>
          </cell>
        </row>
        <row r="926">
          <cell r="A926" t="str">
            <v>SCOM-SHSTG-SOL</v>
          </cell>
          <cell r="B926" t="str">
            <v>VAR_cap</v>
          </cell>
          <cell r="C926" t="str">
            <v>-</v>
          </cell>
          <cell r="D926">
            <v>2.3566588483975401E-2</v>
          </cell>
          <cell r="E926">
            <v>2.3666754928461799E-2</v>
          </cell>
          <cell r="F926">
            <v>2.3675923777550002E-2</v>
          </cell>
          <cell r="G926">
            <v>3.2302182108657998E-2</v>
          </cell>
          <cell r="H926">
            <v>5.4355685515181398E-2</v>
          </cell>
          <cell r="I926">
            <v>7.7108493343547302E-2</v>
          </cell>
        </row>
        <row r="927">
          <cell r="A927" t="str">
            <v>RHNM-SHELCBRA</v>
          </cell>
          <cell r="B927" t="str">
            <v>VAR_fout</v>
          </cell>
          <cell r="C927" t="str">
            <v>RHNM-SHELCB</v>
          </cell>
          <cell r="E927">
            <v>0.15441750395616136</v>
          </cell>
          <cell r="F927">
            <v>7.2975322930003412E-4</v>
          </cell>
          <cell r="G927">
            <v>1.1109211023181366E-3</v>
          </cell>
          <cell r="H927">
            <v>1.1196028396409103E-3</v>
          </cell>
          <cell r="I927">
            <v>8.5980025924877238E-4</v>
          </cell>
        </row>
        <row r="928">
          <cell r="A928" t="str">
            <v>RHNM-SHELCBRA</v>
          </cell>
          <cell r="B928" t="str">
            <v>VAR_fin</v>
          </cell>
          <cell r="C928" t="str">
            <v>RHNM-SHAELCB</v>
          </cell>
          <cell r="E928">
            <v>0.15441750395616136</v>
          </cell>
          <cell r="F928">
            <v>7.2975322930003412E-4</v>
          </cell>
          <cell r="G928">
            <v>1.1109211023181366E-3</v>
          </cell>
          <cell r="H928">
            <v>1.1196028396409103E-3</v>
          </cell>
          <cell r="I928">
            <v>8.5980025924877238E-4</v>
          </cell>
        </row>
        <row r="929">
          <cell r="A929" t="str">
            <v>RHNM-SHELCBRA</v>
          </cell>
          <cell r="B929" t="str">
            <v>VAR_ncap</v>
          </cell>
          <cell r="C929" t="str">
            <v>-</v>
          </cell>
          <cell r="E929">
            <v>1.5051498450098901E-2</v>
          </cell>
        </row>
        <row r="930">
          <cell r="A930" t="str">
            <v>RHNM-SHELCBRA</v>
          </cell>
          <cell r="B930" t="str">
            <v>VAR_cap</v>
          </cell>
          <cell r="C930" t="str">
            <v>-</v>
          </cell>
          <cell r="E930">
            <v>1.5051498450098901E-2</v>
          </cell>
          <cell r="F930">
            <v>1.5034258639013257E-2</v>
          </cell>
          <cell r="G930">
            <v>1.499200919135691E-2</v>
          </cell>
          <cell r="H930">
            <v>6.8915867161483272E-3</v>
          </cell>
          <cell r="I930">
            <v>2.9078163774691182E-3</v>
          </cell>
        </row>
        <row r="931">
          <cell r="A931" t="str">
            <v>RHNM-SHSTG-SOL</v>
          </cell>
          <cell r="B931" t="str">
            <v>VAR_fout</v>
          </cell>
          <cell r="C931" t="str">
            <v>RHNM-SHASOL</v>
          </cell>
          <cell r="E931">
            <v>1.1813682604300716E-4</v>
          </cell>
          <cell r="F931">
            <v>6.1738468819112462E-5</v>
          </cell>
          <cell r="G931">
            <v>2.5075918735402843E-4</v>
          </cell>
          <cell r="H931">
            <v>4.4202243796499449E-4</v>
          </cell>
          <cell r="I931">
            <v>6.2152622866989971E-4</v>
          </cell>
        </row>
        <row r="932">
          <cell r="A932" t="str">
            <v>RHNM-SHSTG-SOL</v>
          </cell>
          <cell r="B932" t="str">
            <v>VAR_fin</v>
          </cell>
          <cell r="C932" t="str">
            <v>RHNM-SHASOL</v>
          </cell>
          <cell r="E932">
            <v>4.1368665589439964E-6</v>
          </cell>
          <cell r="F932">
            <v>1.3927700063372363E-5</v>
          </cell>
          <cell r="G932">
            <v>2.349857178047099E-4</v>
          </cell>
          <cell r="H932">
            <v>4.3326498576196163E-4</v>
          </cell>
          <cell r="I932">
            <v>6.2062343373380554E-4</v>
          </cell>
        </row>
        <row r="933">
          <cell r="A933" t="str">
            <v>RHNM-SHSTG-SOL</v>
          </cell>
          <cell r="B933" t="str">
            <v>VAR_ncap</v>
          </cell>
          <cell r="C933" t="str">
            <v>-</v>
          </cell>
          <cell r="D933">
            <v>2.60677142929142E-4</v>
          </cell>
          <cell r="E933">
            <v>6.8105037620562199E-4</v>
          </cell>
          <cell r="F933">
            <v>8.5472758213455397E-5</v>
          </cell>
          <cell r="G933">
            <v>4.1412226316058902E-6</v>
          </cell>
          <cell r="H933">
            <v>5.4262108084554203E-4</v>
          </cell>
          <cell r="I933">
            <v>3.9572582848243601E-4</v>
          </cell>
        </row>
        <row r="934">
          <cell r="A934" t="str">
            <v>RHNM-SHSTG-SOL</v>
          </cell>
          <cell r="B934" t="str">
            <v>VAR_cap</v>
          </cell>
          <cell r="C934" t="str">
            <v>-</v>
          </cell>
          <cell r="D934">
            <v>2.60677142929142E-4</v>
          </cell>
          <cell r="E934">
            <v>9.4172751913476399E-4</v>
          </cell>
          <cell r="F934">
            <v>1.0272002773482199E-3</v>
          </cell>
          <cell r="G934">
            <v>1.03134149997983E-3</v>
          </cell>
          <cell r="H934">
            <v>9.6916314987778997E-4</v>
          </cell>
          <cell r="I934">
            <v>9.6234899596903296E-4</v>
          </cell>
        </row>
        <row r="935">
          <cell r="A935" t="str">
            <v>RHNS-SHELCHP</v>
          </cell>
          <cell r="B935" t="str">
            <v>VAR_fout</v>
          </cell>
          <cell r="C935" t="str">
            <v>RHNS-SHAELCH</v>
          </cell>
          <cell r="E935">
            <v>0.14601766849620154</v>
          </cell>
          <cell r="F935">
            <v>0.99043865659213837</v>
          </cell>
          <cell r="G935">
            <v>1.5017316413473309</v>
          </cell>
          <cell r="H935">
            <v>2.1129720364154343</v>
          </cell>
          <cell r="I935">
            <v>2.6157207073625202</v>
          </cell>
        </row>
        <row r="936">
          <cell r="A936" t="str">
            <v>RHNS-SHELCHP</v>
          </cell>
          <cell r="B936" t="str">
            <v>VAR_fin</v>
          </cell>
          <cell r="C936" t="str">
            <v>RHNS_ELC</v>
          </cell>
          <cell r="E936">
            <v>4.4882480070553843E-2</v>
          </cell>
          <cell r="F936">
            <v>0.28493997971798551</v>
          </cell>
          <cell r="G936">
            <v>0.41137965358132217</v>
          </cell>
          <cell r="H936">
            <v>0.53768297180671909</v>
          </cell>
          <cell r="I936">
            <v>0.60051393674686881</v>
          </cell>
        </row>
        <row r="937">
          <cell r="A937" t="str">
            <v>RHNS-SHELCHP</v>
          </cell>
          <cell r="B937" t="str">
            <v>VAR_fin</v>
          </cell>
          <cell r="C937" t="str">
            <v>RHNSELCHPC</v>
          </cell>
          <cell r="E937">
            <v>0.14601766849620154</v>
          </cell>
          <cell r="F937">
            <v>0.99043865659213837</v>
          </cell>
          <cell r="G937">
            <v>1.5017316413473309</v>
          </cell>
          <cell r="H937">
            <v>2.1129720364154343</v>
          </cell>
          <cell r="I937">
            <v>2.6157207073625202</v>
          </cell>
        </row>
        <row r="938">
          <cell r="A938" t="str">
            <v>RHNS-SHELCHP</v>
          </cell>
          <cell r="B938" t="str">
            <v>VAR_ncap</v>
          </cell>
          <cell r="C938" t="str">
            <v>-</v>
          </cell>
          <cell r="E938">
            <v>1.1956480200174899E-2</v>
          </cell>
          <cell r="F938">
            <v>6.1401525235729802E-2</v>
          </cell>
          <cell r="G938">
            <v>3.6713903501416997E-2</v>
          </cell>
          <cell r="H938">
            <v>8.61132441484736E-2</v>
          </cell>
          <cell r="I938">
            <v>0.11474639756763701</v>
          </cell>
        </row>
        <row r="939">
          <cell r="A939" t="str">
            <v>RHNS-SHELCHP</v>
          </cell>
          <cell r="B939" t="str">
            <v>VAR_cap</v>
          </cell>
          <cell r="C939" t="str">
            <v>-</v>
          </cell>
          <cell r="E939">
            <v>1.1956480200174899E-2</v>
          </cell>
          <cell r="F939">
            <v>7.3356519527232864E-2</v>
          </cell>
          <cell r="G939">
            <v>0.11006888171471126</v>
          </cell>
          <cell r="H939">
            <v>0.15478918791883303</v>
          </cell>
          <cell r="I939">
            <v>0.19108393983012928</v>
          </cell>
        </row>
        <row r="940">
          <cell r="A940" t="str">
            <v>SCOM-SHBIOBR</v>
          </cell>
          <cell r="B940" t="str">
            <v>VAR_fout</v>
          </cell>
          <cell r="C940" t="str">
            <v>SCOM-SHBIO</v>
          </cell>
          <cell r="D940">
            <v>1.2230801672226319</v>
          </cell>
          <cell r="E940">
            <v>1.3407777943656694</v>
          </cell>
        </row>
        <row r="941">
          <cell r="A941" t="str">
            <v>SCOM-SHBIOBR</v>
          </cell>
          <cell r="B941" t="str">
            <v>VAR_fin</v>
          </cell>
          <cell r="C941" t="str">
            <v>SBIO</v>
          </cell>
          <cell r="D941">
            <v>1.4022932437773812</v>
          </cell>
          <cell r="E941">
            <v>1.5372366365118895</v>
          </cell>
        </row>
        <row r="942">
          <cell r="A942" t="str">
            <v>SCOM-SHBIOBR</v>
          </cell>
          <cell r="B942" t="str">
            <v>VAR_ncap</v>
          </cell>
          <cell r="C942" t="str">
            <v>-</v>
          </cell>
          <cell r="D942">
            <v>8.1906041152812096E-6</v>
          </cell>
          <cell r="E942">
            <v>1.28752329207948E-4</v>
          </cell>
          <cell r="F942">
            <v>9.1876620382805101E-6</v>
          </cell>
          <cell r="G942">
            <v>1.4155788608877E-5</v>
          </cell>
          <cell r="H942">
            <v>7.2532627972807402E-4</v>
          </cell>
          <cell r="I942">
            <v>4.2235137627570098E-4</v>
          </cell>
        </row>
        <row r="943">
          <cell r="A943" t="str">
            <v>SCOM-SHBIOBR</v>
          </cell>
          <cell r="B943" t="str">
            <v>VAR_cap</v>
          </cell>
          <cell r="C943" t="str">
            <v>-</v>
          </cell>
          <cell r="D943">
            <v>0.10534911607279128</v>
          </cell>
          <cell r="E943">
            <v>0.10546759773353601</v>
          </cell>
          <cell r="F943">
            <v>0.10511939834639465</v>
          </cell>
          <cell r="G943">
            <v>0.10500178901524211</v>
          </cell>
          <cell r="H943">
            <v>1.5908892635524917E-3</v>
          </cell>
          <cell r="I943">
            <v>1.3029984094505235E-3</v>
          </cell>
        </row>
        <row r="944">
          <cell r="A944" t="str">
            <v>RHES-SHDEM</v>
          </cell>
          <cell r="B944" t="str">
            <v>VAR_fout</v>
          </cell>
          <cell r="C944" t="str">
            <v>RHES-SHD</v>
          </cell>
          <cell r="D944">
            <v>62.024837503894084</v>
          </cell>
          <cell r="E944">
            <v>67.815394581973521</v>
          </cell>
          <cell r="F944">
            <v>55.751433351370224</v>
          </cell>
          <cell r="G944">
            <v>54.032072581300923</v>
          </cell>
          <cell r="H944">
            <v>50.228562020405427</v>
          </cell>
          <cell r="I944">
            <v>47.96458268169139</v>
          </cell>
        </row>
        <row r="945">
          <cell r="A945" t="str">
            <v>RHES-SHDEM</v>
          </cell>
          <cell r="B945" t="str">
            <v>VAR_fin</v>
          </cell>
          <cell r="C945" t="str">
            <v>RHES-SHPLT</v>
          </cell>
          <cell r="D945">
            <v>1.2904683671177124</v>
          </cell>
          <cell r="E945">
            <v>1.4861417703456767</v>
          </cell>
          <cell r="F945">
            <v>2.4946131960697747E-2</v>
          </cell>
          <cell r="G945">
            <v>2.1621003960215272E-2</v>
          </cell>
          <cell r="H945">
            <v>1.311418426373435E-2</v>
          </cell>
          <cell r="I945">
            <v>6.9533536132897426E-3</v>
          </cell>
        </row>
        <row r="946">
          <cell r="A946" t="str">
            <v>RHES-SHDEM</v>
          </cell>
          <cell r="B946" t="str">
            <v>VAR_fin</v>
          </cell>
          <cell r="C946" t="str">
            <v>RHES-SHLTHC-NGA</v>
          </cell>
          <cell r="D946">
            <v>4.2135810403838951E-2</v>
          </cell>
          <cell r="E946">
            <v>3.194332761828335E-3</v>
          </cell>
          <cell r="F946">
            <v>3.7831088800886385E-6</v>
          </cell>
          <cell r="G946">
            <v>4.61249983496384E-6</v>
          </cell>
          <cell r="H946">
            <v>2.9241258065119119E-6</v>
          </cell>
        </row>
        <row r="947">
          <cell r="A947" t="str">
            <v>RHES-SHDEM</v>
          </cell>
          <cell r="B947" t="str">
            <v>VAR_fin</v>
          </cell>
          <cell r="C947" t="str">
            <v>RHES-SHSOL</v>
          </cell>
          <cell r="D947">
            <v>0.37773509812204797</v>
          </cell>
          <cell r="E947">
            <v>0.43567807032358991</v>
          </cell>
          <cell r="F947">
            <v>2.1813053895199386E-2</v>
          </cell>
          <cell r="G947">
            <v>3.3559136902360946E-2</v>
          </cell>
          <cell r="H947">
            <v>4.5599820536921819E-2</v>
          </cell>
          <cell r="I947">
            <v>4.5834469773537091E-2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RHES-SHLTHC-WOD</v>
          </cell>
          <cell r="D948">
            <v>2.3548793762520536E-3</v>
          </cell>
          <cell r="F948">
            <v>8.8638508123925979E-6</v>
          </cell>
          <cell r="G948">
            <v>4.1362901233021531E-6</v>
          </cell>
          <cell r="H948">
            <v>7.7631232976640962E-6</v>
          </cell>
        </row>
        <row r="949">
          <cell r="A949" t="str">
            <v>RHES-SHDEM</v>
          </cell>
          <cell r="B949" t="str">
            <v>VAR_fin</v>
          </cell>
          <cell r="C949" t="str">
            <v>RHES-SHNGA</v>
          </cell>
          <cell r="D949">
            <v>17.560365781486503</v>
          </cell>
          <cell r="E949">
            <v>18.818910780215184</v>
          </cell>
          <cell r="F949">
            <v>10.186768944623436</v>
          </cell>
          <cell r="G949">
            <v>6.9539473338921001</v>
          </cell>
          <cell r="H949">
            <v>2.3523721766724166</v>
          </cell>
          <cell r="I949">
            <v>1.3287250383419338</v>
          </cell>
        </row>
        <row r="950">
          <cell r="A950" t="str">
            <v>RHES-SHDEM</v>
          </cell>
          <cell r="B950" t="str">
            <v>VAR_fin</v>
          </cell>
          <cell r="C950" t="str">
            <v>RHES-SHNGAH</v>
          </cell>
          <cell r="D950">
            <v>1.9727986335410464E-3</v>
          </cell>
          <cell r="F950">
            <v>1.5249164807251376</v>
          </cell>
          <cell r="G950">
            <v>1.6994714427438111</v>
          </cell>
          <cell r="H950">
            <v>1.6854899668402648</v>
          </cell>
          <cell r="I950">
            <v>1.309232508913869</v>
          </cell>
        </row>
        <row r="951">
          <cell r="A951" t="str">
            <v>RHES-SHDEM</v>
          </cell>
          <cell r="B951" t="str">
            <v>VAR_fin</v>
          </cell>
          <cell r="C951" t="str">
            <v>RHES-SHCOA</v>
          </cell>
          <cell r="D951">
            <v>7.6630106137559995E-2</v>
          </cell>
          <cell r="E951">
            <v>7.1778735348296485E-2</v>
          </cell>
          <cell r="F951">
            <v>2.0713013402738685E-2</v>
          </cell>
          <cell r="G951">
            <v>5.5289079636460794E-6</v>
          </cell>
          <cell r="H951">
            <v>1.2417980157819884E-5</v>
          </cell>
        </row>
        <row r="952">
          <cell r="A952" t="str">
            <v>RHES-SHDEM</v>
          </cell>
          <cell r="B952" t="str">
            <v>VAR_fin</v>
          </cell>
          <cell r="C952" t="str">
            <v>RHES-SHLFO</v>
          </cell>
          <cell r="D952">
            <v>21.667889671158107</v>
          </cell>
          <cell r="E952">
            <v>19.945275280727277</v>
          </cell>
          <cell r="F952">
            <v>13.682825948837865</v>
          </cell>
          <cell r="G952">
            <v>5.9522960162466516</v>
          </cell>
          <cell r="H952">
            <v>0.63445181149044128</v>
          </cell>
          <cell r="I952">
            <v>4.2491948583943333E-2</v>
          </cell>
        </row>
        <row r="953">
          <cell r="A953" t="str">
            <v>RHES-SHDEM</v>
          </cell>
          <cell r="B953" t="str">
            <v>VAR_fin</v>
          </cell>
          <cell r="C953" t="str">
            <v>RHES-SHCON</v>
          </cell>
          <cell r="D953">
            <v>0.12173891088645622</v>
          </cell>
          <cell r="E953">
            <v>3.7560481562606207</v>
          </cell>
          <cell r="F953">
            <v>2.3187091124975479</v>
          </cell>
          <cell r="G953">
            <v>5.2919934226287761</v>
          </cell>
          <cell r="H953">
            <v>9.8200357096551176</v>
          </cell>
          <cell r="I953">
            <v>14.594823321597557</v>
          </cell>
        </row>
        <row r="954">
          <cell r="A954" t="str">
            <v>RHES-SHDEM</v>
          </cell>
          <cell r="B954" t="str">
            <v>VAR_fin</v>
          </cell>
          <cell r="C954" t="str">
            <v>RHES-SHWOD</v>
          </cell>
          <cell r="D954">
            <v>4.3788271244662056</v>
          </cell>
          <cell r="E954">
            <v>5.0334639748587291</v>
          </cell>
          <cell r="F954">
            <v>5.1177398908582026</v>
          </cell>
          <cell r="G954">
            <v>3.9357293654032142</v>
          </cell>
          <cell r="H954">
            <v>2.1249004107950715</v>
          </cell>
          <cell r="I954">
            <v>0.94140492284709665</v>
          </cell>
        </row>
        <row r="955">
          <cell r="A955" t="str">
            <v>RHES-SHDEM</v>
          </cell>
          <cell r="B955" t="str">
            <v>VAR_fin</v>
          </cell>
          <cell r="C955" t="str">
            <v>RHES-SHLTHD</v>
          </cell>
          <cell r="D955">
            <v>3.0832928796914523</v>
          </cell>
          <cell r="E955">
            <v>3.5030162923763184</v>
          </cell>
          <cell r="F955">
            <v>1.8074746179098353</v>
          </cell>
          <cell r="G955">
            <v>1.8495609603842587</v>
          </cell>
          <cell r="H955">
            <v>2.1445136919818966</v>
          </cell>
          <cell r="I955">
            <v>2.3154886264862307</v>
          </cell>
        </row>
        <row r="956">
          <cell r="A956" t="str">
            <v>RHES-SHDEM</v>
          </cell>
          <cell r="B956" t="str">
            <v>VAR_fin</v>
          </cell>
          <cell r="C956" t="str">
            <v>RHES-SHELCB</v>
          </cell>
          <cell r="D956">
            <v>4.2717570648248886</v>
          </cell>
          <cell r="E956">
            <v>4.4876115564792309</v>
          </cell>
          <cell r="F956">
            <v>0.77361830385228703</v>
          </cell>
          <cell r="G956">
            <v>0.12960316005304912</v>
          </cell>
          <cell r="H956">
            <v>1.4494637188435075E-3</v>
          </cell>
          <cell r="I956">
            <v>2.9630302882246187E-4</v>
          </cell>
        </row>
        <row r="957">
          <cell r="A957" t="str">
            <v>RHES-SHDEM</v>
          </cell>
          <cell r="B957" t="str">
            <v>VAR_fin</v>
          </cell>
          <cell r="C957" t="str">
            <v>RHES-SHELCH</v>
          </cell>
          <cell r="D957">
            <v>9.1483708899697973</v>
          </cell>
          <cell r="E957">
            <v>10.275103906127676</v>
          </cell>
          <cell r="F957">
            <v>20.273663520038433</v>
          </cell>
          <cell r="G957">
            <v>28.165699809255617</v>
          </cell>
          <cell r="H957">
            <v>31.407903761757012</v>
          </cell>
          <cell r="I957">
            <v>27.380342784014744</v>
          </cell>
        </row>
        <row r="958">
          <cell r="A958" t="str">
            <v>RHES-SHDEM</v>
          </cell>
          <cell r="B958" t="str">
            <v>VAR_fin</v>
          </cell>
          <cell r="C958" t="str">
            <v>RHES-SHNST</v>
          </cell>
          <cell r="D958">
            <v>2.6580601553387591E-3</v>
          </cell>
          <cell r="E958">
            <v>8.6660802652158879E-4</v>
          </cell>
          <cell r="F958">
            <v>9.3470776147332427E-6</v>
          </cell>
          <cell r="G958">
            <v>4.8344673845290418E-6</v>
          </cell>
          <cell r="H958">
            <v>2.8104907332760749E-6</v>
          </cell>
          <cell r="I958">
            <v>1.8508099991727774E-5</v>
          </cell>
        </row>
        <row r="959">
          <cell r="A959" t="str">
            <v>D-RHEM_LTH_CHPNGA</v>
          </cell>
          <cell r="B959" t="str">
            <v>VAR_fout</v>
          </cell>
          <cell r="C959" t="str">
            <v>RHSA_LTH</v>
          </cell>
          <cell r="D959">
            <v>1.3382471232708569E-2</v>
          </cell>
          <cell r="E959">
            <v>2.894290731336779E-5</v>
          </cell>
          <cell r="F959">
            <v>2.6262498509563085E-2</v>
          </cell>
          <cell r="G959">
            <v>-4.4813956251186151E-5</v>
          </cell>
          <cell r="H959">
            <v>0.92537803366685045</v>
          </cell>
          <cell r="I959">
            <v>0.66444611520883579</v>
          </cell>
        </row>
        <row r="960">
          <cell r="A960" t="str">
            <v>D-RHEM_LTH_CHPNGA</v>
          </cell>
          <cell r="B960" t="str">
            <v>VAR_fout</v>
          </cell>
          <cell r="C960" t="str">
            <v>RHEM_LTH_CHPNGA_ON</v>
          </cell>
          <cell r="D960">
            <v>5.5190939357434278E-2</v>
          </cell>
          <cell r="E960">
            <v>2.0427490589083096E-3</v>
          </cell>
          <cell r="F960">
            <v>1.158373673967053E-3</v>
          </cell>
          <cell r="G960">
            <v>-2.0923356336438647E-5</v>
          </cell>
        </row>
        <row r="961">
          <cell r="A961" t="str">
            <v>D-RHEM_LTH_CHPNGA</v>
          </cell>
          <cell r="B961" t="str">
            <v>VAR_fout</v>
          </cell>
          <cell r="C961" t="str">
            <v>LTH</v>
          </cell>
          <cell r="F961">
            <v>8.6598947201253179E-6</v>
          </cell>
          <cell r="H961">
            <v>1.3488345386160384E-3</v>
          </cell>
          <cell r="I961">
            <v>8.7317699421701669E-4</v>
          </cell>
        </row>
        <row r="962">
          <cell r="A962" t="str">
            <v>D-RHEM_LTH_CHPNGA</v>
          </cell>
          <cell r="B962" t="str">
            <v>VAR_fin</v>
          </cell>
          <cell r="C962" t="str">
            <v>RHEM_LTH_CHPNGA</v>
          </cell>
          <cell r="D962">
            <v>6.8573410590142825E-2</v>
          </cell>
          <cell r="E962">
            <v>2.0726327038110177E-3</v>
          </cell>
          <cell r="F962">
            <v>2.7429971037511464E-2</v>
          </cell>
          <cell r="G962">
            <v>-6.5184013680891521E-5</v>
          </cell>
          <cell r="H962">
            <v>0.92672686820546568</v>
          </cell>
          <cell r="I962">
            <v>0.6653192922030523</v>
          </cell>
        </row>
        <row r="963">
          <cell r="A963" t="str">
            <v>RHEM-SHLTHCHPNGA</v>
          </cell>
          <cell r="B963" t="str">
            <v>VAR_fout</v>
          </cell>
          <cell r="C963" t="str">
            <v>RHEM-SHLTHC-NGA</v>
          </cell>
          <cell r="D963">
            <v>5.0212009140956602E-2</v>
          </cell>
          <cell r="E963">
            <v>1.7507976939277572E-3</v>
          </cell>
        </row>
        <row r="964">
          <cell r="A964" t="str">
            <v>RHEM-SHLTHCHPNGA</v>
          </cell>
          <cell r="B964" t="str">
            <v>VAR_fin</v>
          </cell>
          <cell r="C964" t="str">
            <v>RHEM_LTH_CHPNGA_ON</v>
          </cell>
          <cell r="D964">
            <v>5.0719201152481456E-2</v>
          </cell>
          <cell r="E964">
            <v>1.7684825191189473E-3</v>
          </cell>
        </row>
        <row r="965">
          <cell r="A965" t="str">
            <v>RHEM-SHLTHCHPNGA</v>
          </cell>
          <cell r="B965" t="str">
            <v>VAR_fin</v>
          </cell>
          <cell r="C965" t="str">
            <v>RHEMLTHCHPC</v>
          </cell>
          <cell r="D965">
            <v>5.0212009140956602E-2</v>
          </cell>
          <cell r="E965">
            <v>1.7507976939277572E-3</v>
          </cell>
        </row>
        <row r="966">
          <cell r="A966" t="str">
            <v>RHEM-SHLTHCHPNGA</v>
          </cell>
          <cell r="B966" t="str">
            <v>VAR_ncap</v>
          </cell>
          <cell r="C966" t="str">
            <v>-</v>
          </cell>
          <cell r="D966">
            <v>8.9864569875037807E-6</v>
          </cell>
          <cell r="E966">
            <v>1.2495163622648799E-4</v>
          </cell>
          <cell r="F966">
            <v>1.6754619972984401E-3</v>
          </cell>
          <cell r="G966">
            <v>3.4797770403403797E-5</v>
          </cell>
          <cell r="H966">
            <v>4.5930542877914003E-2</v>
          </cell>
          <cell r="I966">
            <v>2.2979641221288899E-2</v>
          </cell>
        </row>
        <row r="967">
          <cell r="A967" t="str">
            <v>RHEM-SHLTHCHPNGA</v>
          </cell>
          <cell r="B967" t="str">
            <v>VAR_cap</v>
          </cell>
          <cell r="C967" t="str">
            <v>-</v>
          </cell>
          <cell r="D967">
            <v>6.8071874555362339E-3</v>
          </cell>
          <cell r="E967">
            <v>2.0695993799090071E-4</v>
          </cell>
          <cell r="F967">
            <v>1.7808602160596107E-3</v>
          </cell>
          <cell r="G967">
            <v>6.9853969490800069E-5</v>
          </cell>
          <cell r="H967">
            <v>4.7015489368767316E-2</v>
          </cell>
          <cell r="I967">
            <v>3.5822828012247995E-2</v>
          </cell>
        </row>
        <row r="968">
          <cell r="A968" t="str">
            <v>D-RHES_SOLELC</v>
          </cell>
          <cell r="B968" t="str">
            <v>VAR_fout</v>
          </cell>
          <cell r="C968" t="str">
            <v>RHES_ELC</v>
          </cell>
          <cell r="D968">
            <v>1.2899751018406032</v>
          </cell>
          <cell r="E968">
            <v>1.4844917785761942</v>
          </cell>
          <cell r="F968">
            <v>1.7626153504586548</v>
          </cell>
          <cell r="G968">
            <v>1.8863105179626329</v>
          </cell>
          <cell r="H968">
            <v>0.74857646619200169</v>
          </cell>
          <cell r="I968">
            <v>1.7564001680977975E-2</v>
          </cell>
        </row>
        <row r="969">
          <cell r="A969" t="str">
            <v>D-RHES_SOLELC</v>
          </cell>
          <cell r="B969" t="str">
            <v>VAR_fout</v>
          </cell>
          <cell r="C969" t="str">
            <v>ELC5</v>
          </cell>
          <cell r="D969">
            <v>0.84496398689405838</v>
          </cell>
          <cell r="E969">
            <v>1.9061808455006855</v>
          </cell>
          <cell r="F969">
            <v>2.277887826770653</v>
          </cell>
          <cell r="G969">
            <v>2.4578239788077436</v>
          </cell>
          <cell r="H969">
            <v>0.79987429028380286</v>
          </cell>
          <cell r="I969">
            <v>1.7817603713235493E-2</v>
          </cell>
        </row>
        <row r="970">
          <cell r="A970" t="str">
            <v>D-RHES_SOLELC</v>
          </cell>
          <cell r="B970" t="str">
            <v>VAR_fin</v>
          </cell>
          <cell r="C970" t="str">
            <v>RHES_SOL_ELC</v>
          </cell>
          <cell r="D970">
            <v>2.1349390887346629</v>
          </cell>
          <cell r="E970">
            <v>3.3906653018313095</v>
          </cell>
          <cell r="F970">
            <v>4.0405031772293079</v>
          </cell>
          <cell r="G970">
            <v>4.3441104200933012</v>
          </cell>
          <cell r="H970">
            <v>1.5484214188266276</v>
          </cell>
          <cell r="I970">
            <v>3.5349819961915677E-2</v>
          </cell>
        </row>
        <row r="971">
          <cell r="A971" t="str">
            <v>RHNM-SHCONBR1</v>
          </cell>
          <cell r="B971" t="str">
            <v>VAR_ncap</v>
          </cell>
          <cell r="C971" t="str">
            <v>-</v>
          </cell>
          <cell r="F971">
            <v>375</v>
          </cell>
          <cell r="G971">
            <v>5.1938897224059</v>
          </cell>
        </row>
        <row r="972">
          <cell r="A972" t="str">
            <v>RHNM-SHCONBR1</v>
          </cell>
          <cell r="B972" t="str">
            <v>VAR_cap</v>
          </cell>
          <cell r="C972" t="str">
            <v>-</v>
          </cell>
          <cell r="F972">
            <v>375</v>
          </cell>
          <cell r="G972">
            <v>13.317403382832026</v>
          </cell>
          <cell r="H972">
            <v>6.9365975379429869</v>
          </cell>
          <cell r="I972">
            <v>3.1099432923010113</v>
          </cell>
        </row>
        <row r="973">
          <cell r="A973" t="str">
            <v>D-DH2</v>
          </cell>
          <cell r="B973" t="str">
            <v>VAR_fout</v>
          </cell>
          <cell r="C973" t="str">
            <v>H2</v>
          </cell>
          <cell r="G973">
            <v>1.5959964117650536E-6</v>
          </cell>
          <cell r="H973">
            <v>0.50894158467339135</v>
          </cell>
          <cell r="I973">
            <v>1.5156572980773886</v>
          </cell>
        </row>
        <row r="974">
          <cell r="A974" t="str">
            <v>D-DH2</v>
          </cell>
          <cell r="B974" t="str">
            <v>VAR_fin</v>
          </cell>
          <cell r="C974" t="str">
            <v>H2_E</v>
          </cell>
          <cell r="G974">
            <v>1.6121175876414701E-6</v>
          </cell>
          <cell r="H974">
            <v>0.5140824087610012</v>
          </cell>
          <cell r="I974">
            <v>1.530966967754938</v>
          </cell>
        </row>
        <row r="975">
          <cell r="A975" t="str">
            <v>D-DH2</v>
          </cell>
          <cell r="B975" t="str">
            <v>VAR_ncap</v>
          </cell>
          <cell r="C975" t="str">
            <v>-</v>
          </cell>
          <cell r="G975">
            <v>4.16282402265852E-4</v>
          </cell>
          <cell r="H975">
            <v>6.8290403243524103E-2</v>
          </cell>
          <cell r="I975">
            <v>0.134869225235383</v>
          </cell>
        </row>
        <row r="976">
          <cell r="A976" t="str">
            <v>D-DH2</v>
          </cell>
          <cell r="B976" t="str">
            <v>VAR_cap</v>
          </cell>
          <cell r="C976" t="str">
            <v>-</v>
          </cell>
          <cell r="G976">
            <v>4.16282402265852E-4</v>
          </cell>
          <cell r="H976">
            <v>6.9168240186588598E-2</v>
          </cell>
          <cell r="I976">
            <v>0.20403746542197199</v>
          </cell>
        </row>
        <row r="977">
          <cell r="A977" t="str">
            <v>ITOT-SWHHFOBR</v>
          </cell>
          <cell r="B977" t="str">
            <v>VAR_fout</v>
          </cell>
          <cell r="C977" t="str">
            <v>ITOT-SWH</v>
          </cell>
          <cell r="D977">
            <v>1.8458295226661297</v>
          </cell>
          <cell r="E977">
            <v>0.85954855250134909</v>
          </cell>
          <cell r="F977">
            <v>1.4536482448531091E-2</v>
          </cell>
          <cell r="G977">
            <v>5.05154727749957E-6</v>
          </cell>
          <cell r="H977">
            <v>4.3003392729954517E-4</v>
          </cell>
        </row>
        <row r="978">
          <cell r="A978" t="str">
            <v>ITOT-SWHHFOBR</v>
          </cell>
          <cell r="B978" t="str">
            <v>VAR_fout</v>
          </cell>
          <cell r="C978" t="str">
            <v>CO2_I</v>
          </cell>
          <cell r="D978">
            <v>210.21094212651801</v>
          </cell>
          <cell r="E978">
            <v>97.467400843242601</v>
          </cell>
          <cell r="F978">
            <v>1.63776372899774</v>
          </cell>
          <cell r="G978">
            <v>5.6311131432134102E-4</v>
          </cell>
          <cell r="H978">
            <v>4.6943274714960001E-2</v>
          </cell>
        </row>
        <row r="979">
          <cell r="A979" t="str">
            <v>ITOT-SWHHFOBR</v>
          </cell>
          <cell r="B979" t="str">
            <v>VAR_fin</v>
          </cell>
          <cell r="C979" t="str">
            <v>IHFO</v>
          </cell>
          <cell r="D979">
            <v>2.7300122354093239</v>
          </cell>
          <cell r="E979">
            <v>1.2658104005615924</v>
          </cell>
          <cell r="F979">
            <v>2.1269658818152477E-2</v>
          </cell>
          <cell r="G979">
            <v>7.3131339522252191E-6</v>
          </cell>
          <cell r="H979">
            <v>6.0965291837610435E-4</v>
          </cell>
        </row>
        <row r="980">
          <cell r="A980" t="str">
            <v>ITOT-SWHHFOBR</v>
          </cell>
          <cell r="B980" t="str">
            <v>VAR_ncap</v>
          </cell>
          <cell r="C980" t="str">
            <v>-</v>
          </cell>
          <cell r="D980">
            <v>4.9853224783987004E-3</v>
          </cell>
          <cell r="E980">
            <v>1.4027847321582601E-4</v>
          </cell>
          <cell r="F980">
            <v>1.2991944349286601E-4</v>
          </cell>
          <cell r="G980">
            <v>2.3136180463114301E-5</v>
          </cell>
          <cell r="H980">
            <v>5.21258668067339E-5</v>
          </cell>
          <cell r="I980">
            <v>4.60320438242114E-6</v>
          </cell>
        </row>
        <row r="981">
          <cell r="A981" t="str">
            <v>ITOT-SWHHFOBR</v>
          </cell>
          <cell r="B981" t="str">
            <v>VAR_cap</v>
          </cell>
          <cell r="C981" t="str">
            <v>-</v>
          </cell>
          <cell r="D981">
            <v>0.1057023224783987</v>
          </cell>
          <cell r="E981">
            <v>8.000818327633423E-2</v>
          </cell>
          <cell r="F981">
            <v>1.3773647982583959E-3</v>
          </cell>
          <cell r="G981">
            <v>9.2224315251243638E-7</v>
          </cell>
          <cell r="H981">
            <v>4.1035136967067004E-5</v>
          </cell>
          <cell r="I981">
            <v>-9.1499654239752976E-6</v>
          </cell>
        </row>
        <row r="982">
          <cell r="A982" t="str">
            <v>RHNM-SHCONBR2</v>
          </cell>
          <cell r="B982" t="str">
            <v>VAR_ncap</v>
          </cell>
          <cell r="C982" t="str">
            <v>-</v>
          </cell>
          <cell r="F982">
            <v>375</v>
          </cell>
          <cell r="G982">
            <v>5.1938897224060199</v>
          </cell>
        </row>
        <row r="983">
          <cell r="A983" t="str">
            <v>RHNM-SHCONBR2</v>
          </cell>
          <cell r="B983" t="str">
            <v>VAR_cap</v>
          </cell>
          <cell r="C983" t="str">
            <v>-</v>
          </cell>
          <cell r="F983">
            <v>375</v>
          </cell>
          <cell r="G983">
            <v>13.317403382829013</v>
          </cell>
          <cell r="H983">
            <v>6.9365975379409974</v>
          </cell>
          <cell r="I983">
            <v>3.109943292300045</v>
          </cell>
        </row>
        <row r="984">
          <cell r="A984" t="str">
            <v>RHSA-WHSTG-ELCHP</v>
          </cell>
          <cell r="B984" t="str">
            <v>VAR_fout</v>
          </cell>
          <cell r="C984" t="str">
            <v>RHSA-WHAELCH</v>
          </cell>
          <cell r="D984">
            <v>2.7488502384366287E-6</v>
          </cell>
          <cell r="E984">
            <v>2.747827724617138E-6</v>
          </cell>
          <cell r="F984">
            <v>0.42858810362296629</v>
          </cell>
          <cell r="G984">
            <v>0.59019815473931947</v>
          </cell>
          <cell r="H984">
            <v>0.98725417054993247</v>
          </cell>
          <cell r="I984">
            <v>1.5249194428985557</v>
          </cell>
        </row>
        <row r="985">
          <cell r="A985" t="str">
            <v>RHSA-WHSTG-ELCHP</v>
          </cell>
          <cell r="B985" t="str">
            <v>VAR_fin</v>
          </cell>
          <cell r="C985" t="str">
            <v>RHSA-WHAELCH</v>
          </cell>
          <cell r="D985">
            <v>4.9872502429704679E-5</v>
          </cell>
          <cell r="E985">
            <v>1.7884044409364336E-5</v>
          </cell>
          <cell r="F985">
            <v>0.4285962944234748</v>
          </cell>
          <cell r="G985">
            <v>0.59020849449100166</v>
          </cell>
          <cell r="H985">
            <v>0.9872885029634404</v>
          </cell>
          <cell r="I985">
            <v>1.5249541570132399</v>
          </cell>
        </row>
        <row r="986">
          <cell r="A986" t="str">
            <v>RHSA-WHSTG-ELCHP</v>
          </cell>
          <cell r="B986" t="str">
            <v>VAR_ncap</v>
          </cell>
          <cell r="C986" t="str">
            <v>-</v>
          </cell>
          <cell r="D986">
            <v>5.5160581290567001E-2</v>
          </cell>
          <cell r="E986">
            <v>4.3195625753027498E-3</v>
          </cell>
          <cell r="F986">
            <v>2.2324968267558601E-2</v>
          </cell>
          <cell r="G986">
            <v>6.3688837346202204E-2</v>
          </cell>
          <cell r="H986">
            <v>9.1032328325012096E-2</v>
          </cell>
          <cell r="I986">
            <v>0.13201461543481999</v>
          </cell>
        </row>
        <row r="987">
          <cell r="A987" t="str">
            <v>RHSA-WHSTG-ELCHP</v>
          </cell>
          <cell r="B987" t="str">
            <v>VAR_cap</v>
          </cell>
          <cell r="C987" t="str">
            <v>-</v>
          </cell>
          <cell r="D987">
            <v>5.5161820819970092E-2</v>
          </cell>
          <cell r="E987">
            <v>5.8228605278956562E-2</v>
          </cell>
          <cell r="F987">
            <v>8.027533540515748E-2</v>
          </cell>
          <cell r="G987">
            <v>0.14369028546748977</v>
          </cell>
          <cell r="H987">
            <v>0.2131971312597131</v>
          </cell>
          <cell r="I987">
            <v>0.22947359685265123</v>
          </cell>
        </row>
        <row r="988">
          <cell r="A988" t="str">
            <v>RHNM-SHCONBR3</v>
          </cell>
          <cell r="B988" t="str">
            <v>VAR_ncap</v>
          </cell>
          <cell r="C988" t="str">
            <v>-</v>
          </cell>
          <cell r="F988">
            <v>375</v>
          </cell>
          <cell r="G988">
            <v>5.1938897224059</v>
          </cell>
        </row>
        <row r="989">
          <cell r="A989" t="str">
            <v>RHNM-SHCONBR3</v>
          </cell>
          <cell r="B989" t="str">
            <v>VAR_cap</v>
          </cell>
          <cell r="C989" t="str">
            <v>-</v>
          </cell>
          <cell r="F989">
            <v>375</v>
          </cell>
          <cell r="G989">
            <v>13.317403382832026</v>
          </cell>
          <cell r="H989">
            <v>6.9365975379429869</v>
          </cell>
          <cell r="I989">
            <v>3.1099432923010113</v>
          </cell>
        </row>
        <row r="990">
          <cell r="A990" t="str">
            <v>RES-ELCSPECADV</v>
          </cell>
          <cell r="B990" t="str">
            <v>VAR_fout</v>
          </cell>
          <cell r="C990" t="str">
            <v>RHSA-ELS</v>
          </cell>
          <cell r="F990">
            <v>4.9660707321985367</v>
          </cell>
          <cell r="G990">
            <v>14.915043130696116</v>
          </cell>
          <cell r="H990">
            <v>29.874596266031197</v>
          </cell>
          <cell r="I990">
            <v>43.608130048498843</v>
          </cell>
        </row>
        <row r="991">
          <cell r="A991" t="str">
            <v>RES-ELCSPECADV</v>
          </cell>
          <cell r="B991" t="str">
            <v>VAR_fin</v>
          </cell>
          <cell r="C991" t="str">
            <v>RHSA_ELC</v>
          </cell>
          <cell r="F991">
            <v>3.3107138214656904</v>
          </cell>
          <cell r="G991">
            <v>9.9433620871307493</v>
          </cell>
          <cell r="H991">
            <v>19.916397510687457</v>
          </cell>
          <cell r="I991">
            <v>29.072086698999197</v>
          </cell>
        </row>
        <row r="992">
          <cell r="A992" t="str">
            <v>RES-ELCSPECADV</v>
          </cell>
          <cell r="B992" t="str">
            <v>VAR_ncap</v>
          </cell>
          <cell r="C992" t="str">
            <v>-</v>
          </cell>
          <cell r="F992">
            <v>0.52491057600573499</v>
          </cell>
          <cell r="G992">
            <v>1.05159899961044</v>
          </cell>
          <cell r="H992">
            <v>0.79882334698901303</v>
          </cell>
          <cell r="I992">
            <v>2.1195873919926398</v>
          </cell>
        </row>
        <row r="993">
          <cell r="A993" t="str">
            <v>RES-ELCSPECADV</v>
          </cell>
          <cell r="B993" t="str">
            <v>VAR_cap</v>
          </cell>
          <cell r="C993" t="str">
            <v>-</v>
          </cell>
          <cell r="F993">
            <v>0.52491057600573499</v>
          </cell>
          <cell r="G993">
            <v>1.5765093193486748</v>
          </cell>
          <cell r="H993">
            <v>3.1577224463987656</v>
          </cell>
          <cell r="I993">
            <v>4.6093484556036479</v>
          </cell>
        </row>
        <row r="994">
          <cell r="A994" t="str">
            <v>ITOT-SWHSTG-ELCHP</v>
          </cell>
          <cell r="B994" t="str">
            <v>VAR_fout</v>
          </cell>
          <cell r="C994" t="str">
            <v>ITOT-SWHAELCH</v>
          </cell>
          <cell r="D994">
            <v>2.3705385134360895E-4</v>
          </cell>
          <cell r="E994">
            <v>1.2218277941643005E-4</v>
          </cell>
          <cell r="F994">
            <v>2.1160865547172007E-2</v>
          </cell>
          <cell r="G994">
            <v>2.9454306304266964E-4</v>
          </cell>
          <cell r="H994">
            <v>0.10335989544538042</v>
          </cell>
          <cell r="I994">
            <v>3.1079630827653512E-2</v>
          </cell>
        </row>
        <row r="995">
          <cell r="A995" t="str">
            <v>ITOT-SWHSTG-ELCHP</v>
          </cell>
          <cell r="B995" t="str">
            <v>VAR_fin</v>
          </cell>
          <cell r="C995" t="str">
            <v>ITOT-SWHAELCH</v>
          </cell>
          <cell r="D995">
            <v>3.2704936121736634E-4</v>
          </cell>
          <cell r="E995">
            <v>1.6082115805616035E-4</v>
          </cell>
          <cell r="F995">
            <v>2.7323454947525631E-2</v>
          </cell>
          <cell r="G995">
            <v>3.315407369423972E-4</v>
          </cell>
          <cell r="H995">
            <v>0.12162628945366304</v>
          </cell>
          <cell r="I995">
            <v>3.4560749540200983E-2</v>
          </cell>
        </row>
        <row r="996">
          <cell r="A996" t="str">
            <v>ITOT-SWHSTG-ELCHP</v>
          </cell>
          <cell r="B996" t="str">
            <v>VAR_ncap</v>
          </cell>
          <cell r="C996" t="str">
            <v>-</v>
          </cell>
          <cell r="D996">
            <v>3.4482069689797702E-2</v>
          </cell>
          <cell r="E996">
            <v>8.0489804427772395E-5</v>
          </cell>
          <cell r="F996">
            <v>2.4931120926103102E-2</v>
          </cell>
          <cell r="G996">
            <v>1.5741035462541499E-2</v>
          </cell>
          <cell r="H996">
            <v>3.0809315506450798E-2</v>
          </cell>
          <cell r="I996">
            <v>3.6994309076782098E-2</v>
          </cell>
        </row>
        <row r="997">
          <cell r="A997" t="str">
            <v>ITOT-SWHSTG-ELCHP</v>
          </cell>
          <cell r="B997" t="str">
            <v>VAR_cap</v>
          </cell>
          <cell r="C997" t="str">
            <v>-</v>
          </cell>
          <cell r="D997">
            <v>3.4482069689797702E-2</v>
          </cell>
          <cell r="E997">
            <v>1.84119063239256E-2</v>
          </cell>
          <cell r="F997">
            <v>4.3265701723871397E-2</v>
          </cell>
          <cell r="G997">
            <v>5.8840747486598899E-2</v>
          </cell>
          <cell r="H997">
            <v>5.8867510359031754E-2</v>
          </cell>
          <cell r="I997">
            <v>6.4607419785464915E-2</v>
          </cell>
        </row>
        <row r="998">
          <cell r="A998" t="str">
            <v>D-RHNS_LTH_CHPWOD</v>
          </cell>
          <cell r="B998" t="str">
            <v>VAR_fout</v>
          </cell>
          <cell r="C998" t="str">
            <v>RHNS_LTH_CHPWOD_ON</v>
          </cell>
          <cell r="D998">
            <v>5.6146165083930562E-5</v>
          </cell>
          <cell r="E998">
            <v>5.350316059601574E-5</v>
          </cell>
          <cell r="F998">
            <v>1.3086280359196712E-5</v>
          </cell>
          <cell r="G998">
            <v>2.399347531429724E-3</v>
          </cell>
        </row>
        <row r="999">
          <cell r="A999" t="str">
            <v>D-RHNS_LTH_CHPWOD</v>
          </cell>
          <cell r="B999" t="str">
            <v>VAR_fout</v>
          </cell>
          <cell r="C999" t="str">
            <v>RHSA_LTH</v>
          </cell>
          <cell r="D999">
            <v>5.4415335805828064E-5</v>
          </cell>
          <cell r="E999">
            <v>9.1189925557524554E-5</v>
          </cell>
          <cell r="F999">
            <v>3.6524107367123599E-5</v>
          </cell>
          <cell r="G999">
            <v>6.9794560886150044E-4</v>
          </cell>
          <cell r="H999">
            <v>2.0978416577247923E-2</v>
          </cell>
          <cell r="I999">
            <v>1.1114277320812464E-2</v>
          </cell>
        </row>
        <row r="1000">
          <cell r="A1000" t="str">
            <v>D-RHNS_LTH_CHPWOD</v>
          </cell>
          <cell r="B1000" t="str">
            <v>VAR_fout</v>
          </cell>
          <cell r="C1000" t="str">
            <v>LTH</v>
          </cell>
          <cell r="E1000">
            <v>2.3428639668494326E-6</v>
          </cell>
          <cell r="F1000">
            <v>3.1353050323535019E-6</v>
          </cell>
          <cell r="G1000">
            <v>8.289737885614521E-7</v>
          </cell>
          <cell r="H1000">
            <v>2.7271775853953369E-5</v>
          </cell>
          <cell r="I1000">
            <v>2.1363514351362211E-5</v>
          </cell>
        </row>
        <row r="1001">
          <cell r="A1001" t="str">
            <v>D-RHNS_LTH_CHPWOD</v>
          </cell>
          <cell r="B1001" t="str">
            <v>VAR_fin</v>
          </cell>
          <cell r="C1001" t="str">
            <v>RHNS_LTH_CHPWOD</v>
          </cell>
          <cell r="D1001">
            <v>1.1056150088975852E-4</v>
          </cell>
          <cell r="E1001">
            <v>1.4703595012038976E-4</v>
          </cell>
          <cell r="F1001">
            <v>5.2745692758673821E-5</v>
          </cell>
          <cell r="G1001">
            <v>3.0994967378540511E-3</v>
          </cell>
          <cell r="H1001">
            <v>2.1005688353101879E-2</v>
          </cell>
          <cell r="I1001">
            <v>1.1135640835163836E-2</v>
          </cell>
        </row>
        <row r="1002">
          <cell r="A1002" t="str">
            <v>RHNM-SHCONBR4</v>
          </cell>
          <cell r="B1002" t="str">
            <v>VAR_ncap</v>
          </cell>
          <cell r="C1002" t="str">
            <v>-</v>
          </cell>
          <cell r="F1002">
            <v>375</v>
          </cell>
          <cell r="G1002">
            <v>5.1938897224060199</v>
          </cell>
        </row>
        <row r="1003">
          <cell r="A1003" t="str">
            <v>RHNM-SHCONBR4</v>
          </cell>
          <cell r="B1003" t="str">
            <v>VAR_cap</v>
          </cell>
          <cell r="C1003" t="str">
            <v>-</v>
          </cell>
          <cell r="F1003">
            <v>375</v>
          </cell>
          <cell r="G1003">
            <v>13.317403382829013</v>
          </cell>
          <cell r="H1003">
            <v>6.9365975379409974</v>
          </cell>
          <cell r="I1003">
            <v>3.109943292300045</v>
          </cell>
        </row>
        <row r="1004">
          <cell r="A1004" t="str">
            <v>D-SBIO</v>
          </cell>
          <cell r="B1004" t="str">
            <v>VAR_fout</v>
          </cell>
          <cell r="C1004" t="str">
            <v>SBIO</v>
          </cell>
          <cell r="D1004">
            <v>4.0477138192634978</v>
          </cell>
          <cell r="E1004">
            <v>4.5858047681030634</v>
          </cell>
          <cell r="F1004">
            <v>3.0531665886383506</v>
          </cell>
          <cell r="G1004">
            <v>3.032136808956257</v>
          </cell>
          <cell r="H1004">
            <v>4.9163162764694821</v>
          </cell>
          <cell r="I1004">
            <v>4.7587125794582281</v>
          </cell>
        </row>
        <row r="1005">
          <cell r="A1005" t="str">
            <v>D-SBIO</v>
          </cell>
          <cell r="B1005" t="str">
            <v>VAR_fin</v>
          </cell>
          <cell r="C1005" t="str">
            <v>BIO</v>
          </cell>
          <cell r="D1005">
            <v>4.0477138192634978</v>
          </cell>
          <cell r="E1005">
            <v>4.5858047681030634</v>
          </cell>
          <cell r="F1005">
            <v>3.0531665886383506</v>
          </cell>
          <cell r="G1005">
            <v>3.032136808956257</v>
          </cell>
          <cell r="H1005">
            <v>4.9163162764694821</v>
          </cell>
          <cell r="I1005">
            <v>4.7587125794582281</v>
          </cell>
        </row>
        <row r="1006">
          <cell r="A1006" t="str">
            <v>RHEM-SHDEM</v>
          </cell>
          <cell r="B1006" t="str">
            <v>VAR_fout</v>
          </cell>
          <cell r="C1006" t="str">
            <v>RHEM-SHD</v>
          </cell>
          <cell r="D1006">
            <v>66.986774791699034</v>
          </cell>
          <cell r="E1006">
            <v>66.782026660973088</v>
          </cell>
          <cell r="F1006">
            <v>65.24757656530214</v>
          </cell>
          <cell r="G1006">
            <v>62.804876225259569</v>
          </cell>
          <cell r="H1006">
            <v>56.622357427133558</v>
          </cell>
          <cell r="I1006">
            <v>53.018078681257478</v>
          </cell>
        </row>
        <row r="1007">
          <cell r="A1007" t="str">
            <v>RHEM-SHDEM</v>
          </cell>
          <cell r="B1007" t="str">
            <v>VAR_fin</v>
          </cell>
          <cell r="C1007" t="str">
            <v>RHEM-SHNST</v>
          </cell>
          <cell r="D1007">
            <v>1.5358734838349587E-3</v>
          </cell>
          <cell r="F1007">
            <v>7.8428005840399614E-6</v>
          </cell>
          <cell r="G1007">
            <v>6.7392644327040823E-6</v>
          </cell>
          <cell r="H1007">
            <v>2.3105432256338114E-5</v>
          </cell>
          <cell r="I1007">
            <v>1.5761371133406756E-5</v>
          </cell>
        </row>
        <row r="1008">
          <cell r="A1008" t="str">
            <v>RHEM-SHDEM</v>
          </cell>
          <cell r="B1008" t="str">
            <v>VAR_fin</v>
          </cell>
          <cell r="C1008" t="str">
            <v>RHEM-SHPLT</v>
          </cell>
          <cell r="D1008">
            <v>1.3978015665464132</v>
          </cell>
          <cell r="E1008">
            <v>1.6068890245336354</v>
          </cell>
          <cell r="F1008">
            <v>0.16110513793270678</v>
          </cell>
          <cell r="G1008">
            <v>0.13925377881491988</v>
          </cell>
          <cell r="H1008">
            <v>7.9756850003623439E-2</v>
          </cell>
          <cell r="I1008">
            <v>2.8648579924535424E-2</v>
          </cell>
        </row>
        <row r="1009">
          <cell r="A1009" t="str">
            <v>RHEM-SHDEM</v>
          </cell>
          <cell r="B1009" t="str">
            <v>VAR_fin</v>
          </cell>
          <cell r="C1009" t="str">
            <v>RHEM-SHNGAH</v>
          </cell>
          <cell r="D1009">
            <v>2.0152332977551039E-3</v>
          </cell>
          <cell r="E1009">
            <v>3.1895105096814641E-4</v>
          </cell>
          <cell r="F1009">
            <v>1.8992639120308905</v>
          </cell>
          <cell r="G1009">
            <v>4.99514159498057</v>
          </cell>
          <cell r="H1009">
            <v>7.5588736960767804</v>
          </cell>
          <cell r="I1009">
            <v>5.6388618112678461</v>
          </cell>
        </row>
        <row r="1010">
          <cell r="A1010" t="str">
            <v>RHEM-SHDEM</v>
          </cell>
          <cell r="B1010" t="str">
            <v>VAR_fin</v>
          </cell>
          <cell r="C1010" t="str">
            <v>RHEM-SHLTHC-WOD</v>
          </cell>
          <cell r="D1010">
            <v>2.0589263900550729E-3</v>
          </cell>
          <cell r="E1010">
            <v>7.0451806575424234E-4</v>
          </cell>
          <cell r="F1010">
            <v>7.1964339427606923E-6</v>
          </cell>
          <cell r="G1010">
            <v>6.1886189236336438E-6</v>
          </cell>
          <cell r="H1010">
            <v>9.4786302445381592E-6</v>
          </cell>
          <cell r="I1010">
            <v>5.4163477855631763E-6</v>
          </cell>
        </row>
        <row r="1011">
          <cell r="A1011" t="str">
            <v>RHEM-SHDEM</v>
          </cell>
          <cell r="B1011" t="str">
            <v>VAR_fin</v>
          </cell>
          <cell r="C1011" t="str">
            <v>RHEM-SHSOL</v>
          </cell>
          <cell r="D1011">
            <v>0.41064937619022507</v>
          </cell>
          <cell r="E1011">
            <v>0.47113164506384497</v>
          </cell>
          <cell r="F1011">
            <v>9.9005876169097288E-3</v>
          </cell>
          <cell r="G1011">
            <v>1.5938722570582865E-2</v>
          </cell>
          <cell r="H1011">
            <v>2.1271105292695516E-2</v>
          </cell>
          <cell r="I1011">
            <v>2.0646847719964181E-2</v>
          </cell>
        </row>
        <row r="1012">
          <cell r="A1012" t="str">
            <v>RHEM-SHDEM</v>
          </cell>
          <cell r="B1012" t="str">
            <v>VAR_fin</v>
          </cell>
          <cell r="C1012" t="str">
            <v>RHEM-SHLTHD</v>
          </cell>
          <cell r="D1012">
            <v>3.2861294822904994</v>
          </cell>
          <cell r="E1012">
            <v>3.7877757049469061</v>
          </cell>
          <cell r="F1012">
            <v>4.8920355352230871</v>
          </cell>
          <cell r="G1012">
            <v>4.6837864103983566</v>
          </cell>
          <cell r="H1012">
            <v>4.9615790438495173</v>
          </cell>
          <cell r="I1012">
            <v>5.0127461523089547</v>
          </cell>
        </row>
        <row r="1013">
          <cell r="A1013" t="str">
            <v>RHEM-SHDEM</v>
          </cell>
          <cell r="B1013" t="str">
            <v>VAR_fin</v>
          </cell>
          <cell r="C1013" t="str">
            <v>RHEM-SHNGA</v>
          </cell>
          <cell r="D1013">
            <v>18.992307416214754</v>
          </cell>
          <cell r="E1013">
            <v>19.21714260012374</v>
          </cell>
          <cell r="F1013">
            <v>20.497173792217225</v>
          </cell>
          <cell r="G1013">
            <v>13.845742751626952</v>
          </cell>
          <cell r="H1013">
            <v>3.2316586942090653</v>
          </cell>
          <cell r="I1013">
            <v>1.7413356570555627</v>
          </cell>
        </row>
        <row r="1014">
          <cell r="A1014" t="str">
            <v>RHEM-SHDEM</v>
          </cell>
          <cell r="B1014" t="str">
            <v>VAR_fin</v>
          </cell>
          <cell r="C1014" t="str">
            <v>RHEM-SHELCB</v>
          </cell>
          <cell r="D1014">
            <v>4.622446385230913</v>
          </cell>
          <cell r="E1014">
            <v>1.8487155661783756</v>
          </cell>
          <cell r="F1014">
            <v>3.3501430877879636E-2</v>
          </cell>
          <cell r="G1014">
            <v>7.4865228571474587E-3</v>
          </cell>
          <cell r="H1014">
            <v>2.2263074810043022E-3</v>
          </cell>
          <cell r="I1014">
            <v>1.1787496016195957E-3</v>
          </cell>
        </row>
        <row r="1015">
          <cell r="A1015" t="str">
            <v>RHEM-SHDEM</v>
          </cell>
          <cell r="B1015" t="str">
            <v>VAR_fin</v>
          </cell>
          <cell r="C1015" t="str">
            <v>RHEM-SHELCH</v>
          </cell>
          <cell r="D1015">
            <v>9.8958954801351204</v>
          </cell>
          <cell r="E1015">
            <v>11.654227609904357</v>
          </cell>
          <cell r="F1015">
            <v>10.987492521513477</v>
          </cell>
          <cell r="G1015">
            <v>19.481104506064483</v>
          </cell>
          <cell r="H1015">
            <v>25.10689612042691</v>
          </cell>
          <cell r="I1015">
            <v>21.613905640538757</v>
          </cell>
        </row>
        <row r="1016">
          <cell r="A1016" t="str">
            <v>RHEM-SHDEM</v>
          </cell>
          <cell r="B1016" t="str">
            <v>VAR_fin</v>
          </cell>
          <cell r="C1016" t="str">
            <v>RHEM-SHLFO</v>
          </cell>
          <cell r="D1016">
            <v>23.435780570228921</v>
          </cell>
          <cell r="E1016">
            <v>19.073214487727757</v>
          </cell>
          <cell r="F1016">
            <v>19.058993184363683</v>
          </cell>
          <cell r="G1016">
            <v>9.0571242577486704</v>
          </cell>
          <cell r="H1016">
            <v>1.2111412116932212</v>
          </cell>
          <cell r="I1016">
            <v>7.3857738641182794E-2</v>
          </cell>
        </row>
        <row r="1017">
          <cell r="A1017" t="str">
            <v>RHEM-SHDEM</v>
          </cell>
          <cell r="B1017" t="str">
            <v>VAR_fin</v>
          </cell>
          <cell r="C1017" t="str">
            <v>RHEM-SHCON</v>
          </cell>
          <cell r="D1017">
            <v>0.150219261361388</v>
          </cell>
          <cell r="E1017">
            <v>4.3756448657286153</v>
          </cell>
          <cell r="F1017">
            <v>2.9453775698789291</v>
          </cell>
          <cell r="G1017">
            <v>6.6509869260508783</v>
          </cell>
          <cell r="H1017">
            <v>12.211838555017538</v>
          </cell>
          <cell r="I1017">
            <v>17.93068500825899</v>
          </cell>
        </row>
        <row r="1018">
          <cell r="A1018" t="str">
            <v>RHEM-SHDEM</v>
          </cell>
          <cell r="B1018" t="str">
            <v>VAR_fin</v>
          </cell>
          <cell r="C1018" t="str">
            <v>RHEM-SHWOD</v>
          </cell>
          <cell r="D1018">
            <v>4.7384560624038112</v>
          </cell>
          <cell r="E1018">
            <v>4.7453272112300855</v>
          </cell>
          <cell r="F1018">
            <v>4.7645632308589043</v>
          </cell>
          <cell r="G1018">
            <v>3.9297462173253499</v>
          </cell>
          <cell r="H1018">
            <v>2.2384314645555947</v>
          </cell>
          <cell r="I1018">
            <v>0.95727633082717811</v>
          </cell>
        </row>
        <row r="1019">
          <cell r="A1019" t="str">
            <v>RHEM-SHDEM</v>
          </cell>
          <cell r="B1019" t="str">
            <v>VAR_fin</v>
          </cell>
          <cell r="C1019" t="str">
            <v>RHEM-SHLTHC-NGA</v>
          </cell>
          <cell r="D1019">
            <v>5.3280678919244998E-2</v>
          </cell>
          <cell r="E1019">
            <v>2.658535329336794E-3</v>
          </cell>
          <cell r="F1019">
            <v>1.0441905170796428E-5</v>
          </cell>
          <cell r="G1019">
            <v>6.4944407429466743E-6</v>
          </cell>
          <cell r="I1019">
            <v>4.6917836720261116E-7</v>
          </cell>
        </row>
        <row r="1020">
          <cell r="A1020" t="str">
            <v>ITOT-SWHH2BR</v>
          </cell>
          <cell r="B1020" t="str">
            <v>VAR_fout</v>
          </cell>
          <cell r="C1020" t="str">
            <v>ITOT-SWH</v>
          </cell>
          <cell r="H1020">
            <v>3.5616100530849142</v>
          </cell>
          <cell r="I1020">
            <v>4.3876195774192484</v>
          </cell>
        </row>
        <row r="1021">
          <cell r="A1021" t="str">
            <v>ITOT-SWHH2BR</v>
          </cell>
          <cell r="B1021" t="str">
            <v>VAR_fin</v>
          </cell>
          <cell r="C1021" t="str">
            <v>IH2</v>
          </cell>
          <cell r="H1021">
            <v>4.4050631278732784</v>
          </cell>
          <cell r="I1021">
            <v>5.4031425478718891</v>
          </cell>
        </row>
        <row r="1022">
          <cell r="A1022" t="str">
            <v>ITOT-SWHH2BR</v>
          </cell>
          <cell r="B1022" t="str">
            <v>VAR_ncap</v>
          </cell>
          <cell r="C1022" t="str">
            <v>-</v>
          </cell>
          <cell r="H1022">
            <v>1.1123112369517201E-2</v>
          </cell>
          <cell r="I1022">
            <v>0.28538831978414603</v>
          </cell>
        </row>
        <row r="1023">
          <cell r="A1023" t="str">
            <v>ITOT-SWHH2BR</v>
          </cell>
          <cell r="B1023" t="str">
            <v>VAR_cap</v>
          </cell>
          <cell r="C1023" t="str">
            <v>-</v>
          </cell>
          <cell r="H1023">
            <v>0.30265293331551318</v>
          </cell>
          <cell r="I1023">
            <v>0.41668214453518659</v>
          </cell>
        </row>
        <row r="1024">
          <cell r="A1024" t="str">
            <v>RHNS-SHSTG-ELC</v>
          </cell>
          <cell r="B1024" t="str">
            <v>VAR_fout</v>
          </cell>
          <cell r="C1024" t="str">
            <v>RHNS-SHAELCB</v>
          </cell>
          <cell r="E1024">
            <v>2.0663550030450262E-5</v>
          </cell>
          <cell r="F1024">
            <v>1.8363489802271802E-4</v>
          </cell>
          <cell r="G1024">
            <v>4.0906177472196562E-4</v>
          </cell>
          <cell r="H1024">
            <v>5.6338964960408566E-4</v>
          </cell>
          <cell r="I1024">
            <v>4.2507215132989894E-4</v>
          </cell>
        </row>
        <row r="1025">
          <cell r="A1025" t="str">
            <v>RHNS-SHSTG-ELC</v>
          </cell>
          <cell r="B1025" t="str">
            <v>VAR_fin</v>
          </cell>
          <cell r="C1025" t="str">
            <v>RHNS-SHAELCB</v>
          </cell>
          <cell r="E1025">
            <v>3.8203238277427037E-6</v>
          </cell>
          <cell r="F1025">
            <v>1.5761166081216971E-4</v>
          </cell>
          <cell r="G1025">
            <v>3.8246190103704522E-4</v>
          </cell>
          <cell r="H1025">
            <v>5.4578540308396748E-4</v>
          </cell>
          <cell r="I1025">
            <v>4.1814408124886496E-4</v>
          </cell>
        </row>
        <row r="1026">
          <cell r="A1026" t="str">
            <v>RHNS-SHSTG-ELC</v>
          </cell>
          <cell r="B1026" t="str">
            <v>VAR_ncap</v>
          </cell>
          <cell r="C1026" t="str">
            <v>-</v>
          </cell>
          <cell r="D1026">
            <v>4.6033072546075598E-4</v>
          </cell>
          <cell r="E1026">
            <v>7.0987672875248795E-4</v>
          </cell>
          <cell r="F1026">
            <v>3.2099835670652702E-4</v>
          </cell>
          <cell r="G1026">
            <v>3.15481928789037E-4</v>
          </cell>
          <cell r="H1026">
            <v>2.4733428613094699E-4</v>
          </cell>
          <cell r="I1026">
            <v>1.6396682577690899E-4</v>
          </cell>
        </row>
        <row r="1027">
          <cell r="A1027" t="str">
            <v>RHNS-SHSTG-ELC</v>
          </cell>
          <cell r="B1027" t="str">
            <v>VAR_cap</v>
          </cell>
          <cell r="C1027" t="str">
            <v>-</v>
          </cell>
          <cell r="D1027">
            <v>4.6033072546075598E-4</v>
          </cell>
          <cell r="E1027">
            <v>1.1177511366468414E-3</v>
          </cell>
          <cell r="F1027">
            <v>1.1994391984250089E-3</v>
          </cell>
          <cell r="G1027">
            <v>1.1966035485897839E-3</v>
          </cell>
          <cell r="H1027">
            <v>7.9349110451421196E-4</v>
          </cell>
          <cell r="I1027">
            <v>3.3590900933214396E-4</v>
          </cell>
        </row>
        <row r="1028">
          <cell r="A1028" t="str">
            <v>RHES-SHCOABR</v>
          </cell>
          <cell r="B1028" t="str">
            <v>VAR_fout</v>
          </cell>
          <cell r="C1028" t="str">
            <v>CO2_R</v>
          </cell>
          <cell r="D1028">
            <v>9.2704595072800799</v>
          </cell>
          <cell r="E1028">
            <v>9.2697133600879997</v>
          </cell>
          <cell r="F1028">
            <v>2.4016128343345802</v>
          </cell>
        </row>
        <row r="1029">
          <cell r="A1029" t="str">
            <v>RHES-SHCOABR</v>
          </cell>
          <cell r="B1029" t="str">
            <v>VAR_fout</v>
          </cell>
          <cell r="C1029" t="str">
            <v>RHES-SHCOA</v>
          </cell>
          <cell r="D1029">
            <v>7.2003568988583122E-2</v>
          </cell>
          <cell r="E1029">
            <v>7.1997773670586407E-2</v>
          </cell>
          <cell r="F1029">
            <v>2.0676142136182289E-2</v>
          </cell>
        </row>
        <row r="1030">
          <cell r="A1030" t="str">
            <v>RHES-SHCOABR</v>
          </cell>
          <cell r="B1030" t="str">
            <v>VAR_fin</v>
          </cell>
          <cell r="C1030" t="str">
            <v>RCOA</v>
          </cell>
          <cell r="D1030">
            <v>0.10000495692858771</v>
          </cell>
          <cell r="E1030">
            <v>9.9996907875814334E-2</v>
          </cell>
          <cell r="F1030">
            <v>2.5907366066176715E-2</v>
          </cell>
        </row>
        <row r="1031">
          <cell r="A1031" t="str">
            <v>RHES-SHCOABR</v>
          </cell>
          <cell r="B1031" t="str">
            <v>VAR_cap</v>
          </cell>
          <cell r="C1031" t="str">
            <v>-</v>
          </cell>
          <cell r="D1031">
            <v>7.0000000000000001E-3</v>
          </cell>
          <cell r="E1031">
            <v>6.992712661874464E-3</v>
          </cell>
          <cell r="F1031">
            <v>2.8782812506723699E-3</v>
          </cell>
          <cell r="G1031">
            <v>6.0282361887740304E-5</v>
          </cell>
        </row>
        <row r="1032">
          <cell r="A1032" t="str">
            <v>D-INGA</v>
          </cell>
          <cell r="B1032" t="str">
            <v>VAR_fout</v>
          </cell>
          <cell r="C1032" t="str">
            <v>CO2</v>
          </cell>
          <cell r="D1032">
            <v>2106.8165314194298</v>
          </cell>
          <cell r="E1032">
            <v>1731.775261793</v>
          </cell>
          <cell r="F1032">
            <v>1746.96158743568</v>
          </cell>
          <cell r="G1032">
            <v>691.41909176446995</v>
          </cell>
          <cell r="H1032">
            <v>200.159411946657</v>
          </cell>
          <cell r="I1032">
            <v>36.610490506149901</v>
          </cell>
        </row>
        <row r="1033">
          <cell r="A1033" t="str">
            <v>D-INGA</v>
          </cell>
          <cell r="B1033" t="str">
            <v>VAR_fout</v>
          </cell>
          <cell r="C1033" t="str">
            <v>IH2</v>
          </cell>
          <cell r="H1033">
            <v>0.18683617263907482</v>
          </cell>
          <cell r="I1033">
            <v>8.60355709546613E-2</v>
          </cell>
        </row>
        <row r="1034">
          <cell r="A1034" t="str">
            <v>D-INGA</v>
          </cell>
          <cell r="B1034" t="str">
            <v>VAR_fout</v>
          </cell>
          <cell r="C1034" t="str">
            <v>INGA</v>
          </cell>
          <cell r="D1034">
            <v>37.553684659991376</v>
          </cell>
          <cell r="E1034">
            <v>30.607562010985102</v>
          </cell>
          <cell r="F1034">
            <v>30.876239670408598</v>
          </cell>
          <cell r="G1034">
            <v>12.220232046234088</v>
          </cell>
          <cell r="H1034">
            <v>6.0184845028745571</v>
          </cell>
          <cell r="I1034">
            <v>3.1282609861927591</v>
          </cell>
        </row>
        <row r="1035">
          <cell r="A1035" t="str">
            <v>D-INGA</v>
          </cell>
          <cell r="B1035" t="str">
            <v>VAR_fin</v>
          </cell>
          <cell r="C1035" t="str">
            <v>NGA</v>
          </cell>
          <cell r="D1035">
            <v>37.354903039351463</v>
          </cell>
          <cell r="E1035">
            <v>30.705235138173627</v>
          </cell>
          <cell r="F1035">
            <v>30.974496231129091</v>
          </cell>
          <cell r="G1035">
            <v>12.259203754689185</v>
          </cell>
          <cell r="H1035">
            <v>3.5489257437350537</v>
          </cell>
          <cell r="I1035">
            <v>0.6491221720948569</v>
          </cell>
        </row>
        <row r="1036">
          <cell r="A1036" t="str">
            <v>D-INGA</v>
          </cell>
          <cell r="B1036" t="str">
            <v>VAR_fin</v>
          </cell>
          <cell r="C1036" t="str">
            <v>BNGA</v>
          </cell>
          <cell r="D1036">
            <v>0.318751357258649</v>
          </cell>
          <cell r="E1036">
            <v>3.8179534209301108E-4</v>
          </cell>
          <cell r="F1036">
            <v>3.8127933627723473E-4</v>
          </cell>
          <cell r="G1036">
            <v>3.8201328124891723E-4</v>
          </cell>
          <cell r="H1036">
            <v>2.4905708036713095</v>
          </cell>
          <cell r="I1036">
            <v>2.490132880271124</v>
          </cell>
        </row>
        <row r="1037">
          <cell r="A1037" t="str">
            <v>D-INGA</v>
          </cell>
          <cell r="B1037" t="str">
            <v>VAR_fin</v>
          </cell>
          <cell r="C1037" t="str">
            <v>H2</v>
          </cell>
          <cell r="H1037">
            <v>0.18683617263905494</v>
          </cell>
          <cell r="I1037">
            <v>8.6029739148181836E-2</v>
          </cell>
        </row>
        <row r="1038">
          <cell r="A1038" t="str">
            <v>D-INGA</v>
          </cell>
          <cell r="B1038" t="str">
            <v>VAR_ncap</v>
          </cell>
          <cell r="C1038" t="str">
            <v>-</v>
          </cell>
          <cell r="D1038">
            <v>2.4113556727842999E-5</v>
          </cell>
          <cell r="E1038">
            <v>5.7708884127632402E-6</v>
          </cell>
          <cell r="F1038">
            <v>6.9289059224978597E-6</v>
          </cell>
          <cell r="G1038">
            <v>9.4456791982806595E-6</v>
          </cell>
          <cell r="H1038">
            <v>7.76991390375271E-5</v>
          </cell>
          <cell r="I1038">
            <v>6.1596666800493795E-4</v>
          </cell>
        </row>
        <row r="1039">
          <cell r="A1039" t="str">
            <v>D-INGA</v>
          </cell>
          <cell r="B1039" t="str">
            <v>VAR_cap</v>
          </cell>
          <cell r="C1039" t="str">
            <v>-</v>
          </cell>
          <cell r="D1039">
            <v>1.9845074838228278</v>
          </cell>
          <cell r="E1039">
            <v>1.9845132547112405</v>
          </cell>
          <cell r="F1039">
            <v>1.9845201836171631</v>
          </cell>
          <cell r="G1039">
            <v>1.9845296292963615</v>
          </cell>
          <cell r="H1039">
            <v>1.9846566384824988</v>
          </cell>
          <cell r="I1039">
            <v>1.0962486723303237</v>
          </cell>
        </row>
        <row r="1040">
          <cell r="A1040" t="str">
            <v>RHEM-SHNGAHP</v>
          </cell>
          <cell r="B1040" t="str">
            <v>VAR_fout</v>
          </cell>
          <cell r="C1040" t="str">
            <v>CO2_R</v>
          </cell>
          <cell r="F1040">
            <v>56.480799577341003</v>
          </cell>
          <cell r="G1040">
            <v>140.80602186393099</v>
          </cell>
          <cell r="H1040">
            <v>208.256701197762</v>
          </cell>
          <cell r="I1040">
            <v>147.75264378365</v>
          </cell>
        </row>
        <row r="1041">
          <cell r="A1041" t="str">
            <v>RHEM-SHNGAHP</v>
          </cell>
          <cell r="B1041" t="str">
            <v>VAR_fout</v>
          </cell>
          <cell r="C1041" t="str">
            <v>RHEM-SHANGAH</v>
          </cell>
          <cell r="F1041">
            <v>1.8992820464001219</v>
          </cell>
          <cell r="G1041">
            <v>4.995142861014739</v>
          </cell>
          <cell r="H1041">
            <v>7.5588638395507424</v>
          </cell>
          <cell r="I1041">
            <v>5.6388700082318266</v>
          </cell>
        </row>
        <row r="1042">
          <cell r="A1042" t="str">
            <v>RHEM-SHNGAHP</v>
          </cell>
          <cell r="B1042" t="str">
            <v>VAR_fin</v>
          </cell>
          <cell r="C1042" t="str">
            <v>RHEMELCHPC</v>
          </cell>
          <cell r="F1042">
            <v>1.8992820464001219</v>
          </cell>
          <cell r="G1042">
            <v>4.995142861014739</v>
          </cell>
          <cell r="H1042">
            <v>7.5588638395507424</v>
          </cell>
          <cell r="I1042">
            <v>5.6388700082318266</v>
          </cell>
        </row>
        <row r="1043">
          <cell r="A1043" t="str">
            <v>RHEM-SHNGAHP</v>
          </cell>
          <cell r="B1043" t="str">
            <v>VAR_fin</v>
          </cell>
          <cell r="C1043" t="str">
            <v>RNGA</v>
          </cell>
          <cell r="F1043">
            <v>1.0014326166195211</v>
          </cell>
          <cell r="G1043">
            <v>2.4965606713462973</v>
          </cell>
          <cell r="H1043">
            <v>3.6924947020879846</v>
          </cell>
          <cell r="I1043">
            <v>2.6197277266604622</v>
          </cell>
        </row>
        <row r="1044">
          <cell r="A1044" t="str">
            <v>RHEM-SHNGAHP</v>
          </cell>
          <cell r="B1044" t="str">
            <v>VAR_ncap</v>
          </cell>
          <cell r="C1044" t="str">
            <v>-</v>
          </cell>
          <cell r="D1044">
            <v>2.0755521372343998E-6</v>
          </cell>
          <cell r="E1044">
            <v>8.0235288304245898E-6</v>
          </cell>
          <cell r="F1044">
            <v>0.134440906919849</v>
          </cell>
          <cell r="G1044">
            <v>0.21843635258792499</v>
          </cell>
          <cell r="H1044">
            <v>0.25435595112158099</v>
          </cell>
          <cell r="I1044">
            <v>0.16930503951848699</v>
          </cell>
        </row>
        <row r="1045">
          <cell r="A1045" t="str">
            <v>RHEM-SHNGAHP</v>
          </cell>
          <cell r="B1045" t="str">
            <v>VAR_cap</v>
          </cell>
          <cell r="C1045" t="str">
            <v>-</v>
          </cell>
          <cell r="D1045">
            <v>2.0755521372343998E-6</v>
          </cell>
          <cell r="E1045">
            <v>8.6183593517372007E-6</v>
          </cell>
          <cell r="F1045">
            <v>0.13444915868394372</v>
          </cell>
          <cell r="G1045">
            <v>0.35288471092069257</v>
          </cell>
          <cell r="H1045">
            <v>0.53402414252635977</v>
          </cell>
          <cell r="I1045">
            <v>0.39901940916544909</v>
          </cell>
        </row>
        <row r="1046">
          <cell r="A1046" t="str">
            <v>D-SPLT</v>
          </cell>
          <cell r="B1046" t="str">
            <v>VAR_fout</v>
          </cell>
          <cell r="C1046" t="str">
            <v>SPLT</v>
          </cell>
          <cell r="D1046">
            <v>2.0856470745690583</v>
          </cell>
          <cell r="E1046">
            <v>2.4000991472025941</v>
          </cell>
          <cell r="F1046">
            <v>0.28622917462676073</v>
          </cell>
          <cell r="G1046">
            <v>0.25403830230705515</v>
          </cell>
          <cell r="H1046">
            <v>0.13179177117577084</v>
          </cell>
          <cell r="I1046">
            <v>4.3585786571909327E-2</v>
          </cell>
        </row>
        <row r="1047">
          <cell r="A1047" t="str">
            <v>D-SPLT</v>
          </cell>
          <cell r="B1047" t="str">
            <v>VAR_fin</v>
          </cell>
          <cell r="C1047" t="str">
            <v>PLT</v>
          </cell>
          <cell r="D1047">
            <v>2.0856470745690583</v>
          </cell>
          <cell r="E1047">
            <v>2.4000991472025941</v>
          </cell>
          <cell r="F1047">
            <v>0.28622917462676073</v>
          </cell>
          <cell r="G1047">
            <v>0.25403830230705515</v>
          </cell>
          <cell r="H1047">
            <v>0.13179177117577084</v>
          </cell>
          <cell r="I1047">
            <v>4.3585786571909327E-2</v>
          </cell>
        </row>
        <row r="1048">
          <cell r="A1048" t="str">
            <v>RHES-SHCONBR</v>
          </cell>
          <cell r="B1048" t="str">
            <v>VAR_fout</v>
          </cell>
          <cell r="C1048" t="str">
            <v>RHES-SHCON</v>
          </cell>
          <cell r="F1048">
            <v>1.3239286190825851E-3</v>
          </cell>
          <cell r="G1048">
            <v>1.429221101201565E-3</v>
          </cell>
          <cell r="H1048">
            <v>1.7193358703481952E-3</v>
          </cell>
          <cell r="I1048">
            <v>1.8233993705902346E-3</v>
          </cell>
        </row>
        <row r="1049">
          <cell r="A1049" t="str">
            <v>RHES-SHCONBR</v>
          </cell>
          <cell r="B1049" t="str">
            <v>VAR_fin</v>
          </cell>
          <cell r="C1049" t="str">
            <v>CON</v>
          </cell>
          <cell r="F1049">
            <v>1.3239286190825851E-3</v>
          </cell>
          <cell r="G1049">
            <v>1.429221101201565E-3</v>
          </cell>
          <cell r="H1049">
            <v>1.7193358703481952E-3</v>
          </cell>
          <cell r="I1049">
            <v>1.8233993705902346E-3</v>
          </cell>
        </row>
        <row r="1050">
          <cell r="A1050" t="str">
            <v>RHES-SHCONBR</v>
          </cell>
          <cell r="B1050" t="str">
            <v>VAR_ncap</v>
          </cell>
          <cell r="C1050" t="str">
            <v>-</v>
          </cell>
          <cell r="E1050">
            <v>3.4012487617375198E-7</v>
          </cell>
          <cell r="F1050">
            <v>1.3058273276015601E-4</v>
          </cell>
          <cell r="G1050">
            <v>1.61253546675204E-6</v>
          </cell>
          <cell r="H1050">
            <v>1.2773860928562201E-6</v>
          </cell>
          <cell r="I1050">
            <v>7.3251591308141204E-7</v>
          </cell>
        </row>
        <row r="1051">
          <cell r="A1051" t="str">
            <v>RHES-SHCONBR</v>
          </cell>
          <cell r="B1051" t="str">
            <v>VAR_cap</v>
          </cell>
          <cell r="C1051" t="str">
            <v>-</v>
          </cell>
          <cell r="E1051">
            <v>3.4012487617375198E-7</v>
          </cell>
          <cell r="F1051">
            <v>1.3072300713452668E-4</v>
          </cell>
          <cell r="G1051">
            <v>1.3219780929785881E-4</v>
          </cell>
          <cell r="H1051">
            <v>1.6178074631867899E-4</v>
          </cell>
          <cell r="I1051">
            <v>1.6299674713465628E-4</v>
          </cell>
        </row>
        <row r="1052">
          <cell r="A1052" t="str">
            <v>RHSA-WHSOLBR</v>
          </cell>
          <cell r="B1052" t="str">
            <v>VAR_fout</v>
          </cell>
          <cell r="C1052" t="str">
            <v>RHSA-WHASOL</v>
          </cell>
          <cell r="D1052">
            <v>1.721488024659851</v>
          </cell>
          <cell r="E1052">
            <v>1.9867834645811759</v>
          </cell>
          <cell r="F1052">
            <v>0.9697859791244986</v>
          </cell>
          <cell r="G1052">
            <v>1.6654805837928208</v>
          </cell>
          <cell r="H1052">
            <v>2.7311995764013082</v>
          </cell>
          <cell r="I1052">
            <v>3.1839420965800098</v>
          </cell>
        </row>
        <row r="1053">
          <cell r="A1053" t="str">
            <v>RHSA-WHSOLBR</v>
          </cell>
          <cell r="B1053" t="str">
            <v>VAR_fin</v>
          </cell>
          <cell r="C1053" t="str">
            <v>SOL</v>
          </cell>
          <cell r="D1053">
            <v>1.721488024659851</v>
          </cell>
          <cell r="E1053">
            <v>1.9867834645811759</v>
          </cell>
          <cell r="F1053">
            <v>0.9697859791244986</v>
          </cell>
          <cell r="G1053">
            <v>1.6654805837928208</v>
          </cell>
          <cell r="H1053">
            <v>2.7311995764013082</v>
          </cell>
          <cell r="I1053">
            <v>3.1839420965800098</v>
          </cell>
        </row>
        <row r="1054">
          <cell r="A1054" t="str">
            <v>RHSA-WHSOLBR</v>
          </cell>
          <cell r="B1054" t="str">
            <v>VAR_fin</v>
          </cell>
          <cell r="C1054" t="str">
            <v>RHSASOLBRC</v>
          </cell>
          <cell r="D1054">
            <v>1.721488024659851</v>
          </cell>
          <cell r="E1054">
            <v>1.9867834645811759</v>
          </cell>
          <cell r="F1054">
            <v>0.9697859791244986</v>
          </cell>
          <cell r="G1054">
            <v>1.6654805837928208</v>
          </cell>
          <cell r="H1054">
            <v>2.7311995764013082</v>
          </cell>
          <cell r="I1054">
            <v>3.1839420965800098</v>
          </cell>
        </row>
        <row r="1055">
          <cell r="A1055" t="str">
            <v>RHSA-WHSOLBR</v>
          </cell>
          <cell r="B1055" t="str">
            <v>VAR_ncap</v>
          </cell>
          <cell r="C1055" t="str">
            <v>-</v>
          </cell>
          <cell r="E1055">
            <v>8.3536489980665402E-2</v>
          </cell>
          <cell r="F1055">
            <v>3.5436006056392398E-5</v>
          </cell>
          <cell r="G1055">
            <v>0.11170346976215099</v>
          </cell>
          <cell r="H1055">
            <v>0.314046607037337</v>
          </cell>
          <cell r="I1055">
            <v>0.60555180906705997</v>
          </cell>
        </row>
        <row r="1056">
          <cell r="A1056" t="str">
            <v>RHSA-WHSOLBR</v>
          </cell>
          <cell r="B1056" t="str">
            <v>VAR_cap</v>
          </cell>
          <cell r="C1056" t="str">
            <v>-</v>
          </cell>
          <cell r="D1056">
            <v>0.25000991745774798</v>
          </cell>
          <cell r="E1056">
            <v>0.33354447162468981</v>
          </cell>
          <cell r="F1056">
            <v>0.333573277441367</v>
          </cell>
          <cell r="G1056">
            <v>0.44527571592384102</v>
          </cell>
          <cell r="H1056">
            <v>0.79743900623471786</v>
          </cell>
          <cell r="I1056">
            <v>1.005663181017292</v>
          </cell>
        </row>
        <row r="1057">
          <cell r="A1057" t="str">
            <v>SCOM-SHCONBR</v>
          </cell>
          <cell r="B1057" t="str">
            <v>VAR_ncap</v>
          </cell>
          <cell r="C1057" t="str">
            <v>-</v>
          </cell>
          <cell r="D1057">
            <v>1.49675723663099E-7</v>
          </cell>
          <cell r="E1057">
            <v>1.56620197834668E-7</v>
          </cell>
          <cell r="F1057">
            <v>1.8915105707548201E-7</v>
          </cell>
          <cell r="G1057">
            <v>1.8111047930441801E-7</v>
          </cell>
          <cell r="H1057">
            <v>5.2781504639215402E-7</v>
          </cell>
          <cell r="I1057">
            <v>4.8454637689342904E-7</v>
          </cell>
        </row>
        <row r="1058">
          <cell r="A1058" t="str">
            <v>SCOM-SHCONBR</v>
          </cell>
          <cell r="B1058" t="str">
            <v>VAR_cap</v>
          </cell>
          <cell r="C1058" t="str">
            <v>-</v>
          </cell>
          <cell r="D1058">
            <v>1.49675723663099E-7</v>
          </cell>
          <cell r="E1058">
            <v>1.0588543004469803E-7</v>
          </cell>
          <cell r="F1058">
            <v>1.6056132235008802E-7</v>
          </cell>
          <cell r="G1058">
            <v>1.5587336729244704E-7</v>
          </cell>
          <cell r="H1058">
            <v>1.9898876909360792E-6</v>
          </cell>
          <cell r="I1058">
            <v>2.8919910560531019E-6</v>
          </cell>
        </row>
        <row r="1059">
          <cell r="A1059" t="str">
            <v>RHNM-SHNGABR</v>
          </cell>
          <cell r="B1059" t="str">
            <v>VAR_fout</v>
          </cell>
          <cell r="C1059" t="str">
            <v>CO2_R</v>
          </cell>
          <cell r="E1059">
            <v>43.100900002988602</v>
          </cell>
          <cell r="F1059">
            <v>0.13079821311873999</v>
          </cell>
          <cell r="G1059">
            <v>2.0029529531735699</v>
          </cell>
          <cell r="H1059">
            <v>2.0740644974369502</v>
          </cell>
        </row>
        <row r="1060">
          <cell r="A1060" t="str">
            <v>RHNM-SHNGABR</v>
          </cell>
          <cell r="B1060" t="str">
            <v>VAR_fout</v>
          </cell>
          <cell r="C1060" t="str">
            <v>RHNM-SHNGA</v>
          </cell>
          <cell r="E1060">
            <v>0.72599033692977233</v>
          </cell>
          <cell r="F1060">
            <v>2.2266695173076955E-3</v>
          </cell>
          <cell r="G1060">
            <v>3.4097669831194756E-2</v>
          </cell>
          <cell r="H1060">
            <v>3.5308251414570058E-2</v>
          </cell>
        </row>
        <row r="1061">
          <cell r="A1061" t="str">
            <v>RHNM-SHNGABR</v>
          </cell>
          <cell r="B1061" t="str">
            <v>VAR_fin</v>
          </cell>
          <cell r="C1061" t="str">
            <v>RNGA</v>
          </cell>
          <cell r="E1061">
            <v>0.76420035466291802</v>
          </cell>
          <cell r="F1061">
            <v>2.3191172538783605E-3</v>
          </cell>
          <cell r="G1061">
            <v>3.5513350233574027E-2</v>
          </cell>
          <cell r="H1061">
            <v>3.6774193216967226E-2</v>
          </cell>
        </row>
        <row r="1062">
          <cell r="A1062" t="str">
            <v>RHNM-SHNGABR</v>
          </cell>
          <cell r="B1062" t="str">
            <v>VAR_ncap</v>
          </cell>
          <cell r="C1062" t="str">
            <v>-</v>
          </cell>
          <cell r="E1062">
            <v>5.6865001673195498E-2</v>
          </cell>
          <cell r="F1062">
            <v>1.9886908849974001E-5</v>
          </cell>
          <cell r="G1062">
            <v>2.6798500260093899E-5</v>
          </cell>
          <cell r="H1062">
            <v>2.8824697104306799E-3</v>
          </cell>
          <cell r="I1062">
            <v>2.7778733510663101E-6</v>
          </cell>
        </row>
        <row r="1063">
          <cell r="A1063" t="str">
            <v>RHNM-SHNGABR</v>
          </cell>
          <cell r="B1063" t="str">
            <v>VAR_cap</v>
          </cell>
          <cell r="C1063" t="str">
            <v>-</v>
          </cell>
          <cell r="E1063">
            <v>5.6865001673195498E-2</v>
          </cell>
          <cell r="F1063">
            <v>3.13656688053345E-2</v>
          </cell>
          <cell r="G1063">
            <v>2.6437037074898799E-2</v>
          </cell>
          <cell r="H1063">
            <v>3.3553288307543411E-3</v>
          </cell>
          <cell r="I1063">
            <v>1.4063912807130976E-4</v>
          </cell>
        </row>
        <row r="1064">
          <cell r="A1064" t="str">
            <v>RHES-SHSOLBR</v>
          </cell>
          <cell r="B1064" t="str">
            <v>VAR_fout</v>
          </cell>
          <cell r="C1064" t="str">
            <v>RHES-SHASOL</v>
          </cell>
          <cell r="D1064">
            <v>0.37732610756439694</v>
          </cell>
          <cell r="E1064">
            <v>0.43548863326928494</v>
          </cell>
          <cell r="F1064">
            <v>2.1750400654473211E-2</v>
          </cell>
          <cell r="G1064">
            <v>3.3487617745368729E-2</v>
          </cell>
          <cell r="H1064">
            <v>4.5543040922827169E-2</v>
          </cell>
          <cell r="I1064">
            <v>4.5778737517499314E-2</v>
          </cell>
        </row>
        <row r="1065">
          <cell r="A1065" t="str">
            <v>RHES-SHSOLBR</v>
          </cell>
          <cell r="B1065" t="str">
            <v>VAR_fin</v>
          </cell>
          <cell r="C1065" t="str">
            <v>SOL</v>
          </cell>
          <cell r="D1065">
            <v>0.37732610756439694</v>
          </cell>
          <cell r="E1065">
            <v>0.43548863326928494</v>
          </cell>
          <cell r="F1065">
            <v>2.1750400654473211E-2</v>
          </cell>
          <cell r="G1065">
            <v>3.3487617745368729E-2</v>
          </cell>
          <cell r="H1065">
            <v>4.5543040922827169E-2</v>
          </cell>
          <cell r="I1065">
            <v>4.5778737517499314E-2</v>
          </cell>
        </row>
        <row r="1066">
          <cell r="A1066" t="str">
            <v>RHES-SHSOLBR</v>
          </cell>
          <cell r="B1066" t="str">
            <v>VAR_ncap</v>
          </cell>
          <cell r="C1066" t="str">
            <v>-</v>
          </cell>
          <cell r="E1066">
            <v>8.6869051666592402E-3</v>
          </cell>
          <cell r="F1066">
            <v>6.5431506437787698E-6</v>
          </cell>
          <cell r="G1066">
            <v>2.6623205512519902E-6</v>
          </cell>
          <cell r="H1066">
            <v>7.49932678338031E-3</v>
          </cell>
          <cell r="I1066">
            <v>2.4644241733618E-3</v>
          </cell>
        </row>
        <row r="1067">
          <cell r="A1067" t="str">
            <v>RHES-SHSOLBR</v>
          </cell>
          <cell r="B1067" t="str">
            <v>VAR_cap</v>
          </cell>
          <cell r="C1067" t="str">
            <v>-</v>
          </cell>
          <cell r="D1067">
            <v>5.4798678617278197E-2</v>
          </cell>
          <cell r="E1067">
            <v>6.3484800927340032E-2</v>
          </cell>
          <cell r="F1067">
            <v>6.3486074592344718E-2</v>
          </cell>
          <cell r="G1067">
            <v>6.3482770552042891E-2</v>
          </cell>
          <cell r="H1067">
            <v>7.5429243163926572E-3</v>
          </cell>
          <cell r="I1067">
            <v>7.923158226051585E-3</v>
          </cell>
        </row>
        <row r="1068">
          <cell r="A1068" t="str">
            <v>SCOM-SHSOLBR</v>
          </cell>
          <cell r="B1068" t="str">
            <v>VAR_fout</v>
          </cell>
          <cell r="C1068" t="str">
            <v>SCOM-SHASOL</v>
          </cell>
          <cell r="D1068">
            <v>0.62701025081300255</v>
          </cell>
          <cell r="E1068">
            <v>0.68736128311886568</v>
          </cell>
          <cell r="F1068">
            <v>0.55677494901205493</v>
          </cell>
          <cell r="G1068">
            <v>0.92852220404809971</v>
          </cell>
          <cell r="H1068">
            <v>1.5523217784657086</v>
          </cell>
          <cell r="I1068">
            <v>1.7305924918011397</v>
          </cell>
        </row>
        <row r="1069">
          <cell r="A1069" t="str">
            <v>SCOM-SHSOLBR</v>
          </cell>
          <cell r="B1069" t="str">
            <v>VAR_fin</v>
          </cell>
          <cell r="C1069" t="str">
            <v>SOL</v>
          </cell>
          <cell r="D1069">
            <v>0.62701025081300255</v>
          </cell>
          <cell r="E1069">
            <v>0.68736128311886568</v>
          </cell>
          <cell r="F1069">
            <v>0.55677494901205493</v>
          </cell>
          <cell r="G1069">
            <v>0.92852220404809971</v>
          </cell>
          <cell r="H1069">
            <v>1.5523217784657086</v>
          </cell>
          <cell r="I1069">
            <v>1.7305924918011397</v>
          </cell>
        </row>
        <row r="1070">
          <cell r="A1070" t="str">
            <v>SCOM-SHSOLBR</v>
          </cell>
          <cell r="B1070" t="str">
            <v>VAR_ncap</v>
          </cell>
          <cell r="C1070" t="str">
            <v>-</v>
          </cell>
          <cell r="D1070">
            <v>1.58244033716384E-4</v>
          </cell>
          <cell r="E1070">
            <v>9.3552785409010408E-3</v>
          </cell>
          <cell r="F1070">
            <v>3.8086199982624401E-5</v>
          </cell>
          <cell r="G1070">
            <v>3.6659674663398097E-2</v>
          </cell>
          <cell r="H1070">
            <v>9.09919843716612E-2</v>
          </cell>
          <cell r="I1070">
            <v>0.21303560371619901</v>
          </cell>
        </row>
        <row r="1071">
          <cell r="A1071" t="str">
            <v>SCOM-SHSOLBR</v>
          </cell>
          <cell r="B1071" t="str">
            <v>VAR_cap</v>
          </cell>
          <cell r="C1071" t="str">
            <v>-</v>
          </cell>
          <cell r="D1071">
            <v>9.121583750979588E-2</v>
          </cell>
          <cell r="E1071">
            <v>0.10056934293838239</v>
          </cell>
          <cell r="F1071">
            <v>0.10060227993475331</v>
          </cell>
          <cell r="G1071">
            <v>0.13726122373921285</v>
          </cell>
          <cell r="H1071">
            <v>0.23100016148000599</v>
          </cell>
          <cell r="I1071">
            <v>0.32769879670492058</v>
          </cell>
        </row>
        <row r="1072">
          <cell r="A1072" t="str">
            <v>RHEM-SHSTG-ELCHP</v>
          </cell>
          <cell r="B1072" t="str">
            <v>VAR_fout</v>
          </cell>
          <cell r="C1072" t="str">
            <v>RHEM-SHAELCH</v>
          </cell>
          <cell r="D1072">
            <v>1.5252941116651085E-5</v>
          </cell>
          <cell r="E1072">
            <v>2.0739035663520394E-5</v>
          </cell>
          <cell r="F1072">
            <v>0.52353078421815391</v>
          </cell>
          <cell r="G1072">
            <v>0.62096343648666874</v>
          </cell>
          <cell r="H1072">
            <v>1.7465199411277099</v>
          </cell>
          <cell r="I1072">
            <v>2.1431299603454463</v>
          </cell>
        </row>
        <row r="1073">
          <cell r="A1073" t="str">
            <v>RHEM-SHSTG-ELCHP</v>
          </cell>
          <cell r="B1073" t="str">
            <v>VAR_fin</v>
          </cell>
          <cell r="C1073" t="str">
            <v>RHEM-SHAELCH</v>
          </cell>
          <cell r="D1073">
            <v>6.1599818903403358E-5</v>
          </cell>
          <cell r="E1073">
            <v>4.7770909218230454E-5</v>
          </cell>
          <cell r="F1073">
            <v>0.52355236312240994</v>
          </cell>
          <cell r="G1073">
            <v>0.62099155653321547</v>
          </cell>
          <cell r="H1073">
            <v>1.7465902738802803</v>
          </cell>
          <cell r="I1073">
            <v>2.1432046911053813</v>
          </cell>
        </row>
        <row r="1074">
          <cell r="A1074" t="str">
            <v>RHEM-SHSTG-ELCHP</v>
          </cell>
          <cell r="B1074" t="str">
            <v>VAR_ncap</v>
          </cell>
          <cell r="C1074" t="str">
            <v>-</v>
          </cell>
          <cell r="D1074">
            <v>6.6239253520604793E-2</v>
          </cell>
          <cell r="E1074">
            <v>0.12817995538386601</v>
          </cell>
          <cell r="F1074">
            <v>7.1259195142908802E-4</v>
          </cell>
          <cell r="G1074">
            <v>0.130390652354447</v>
          </cell>
          <cell r="H1074">
            <v>0.17437610430519801</v>
          </cell>
          <cell r="I1074">
            <v>0.16794409686776199</v>
          </cell>
        </row>
        <row r="1075">
          <cell r="A1075" t="str">
            <v>RHEM-SHSTG-ELCHP</v>
          </cell>
          <cell r="B1075" t="str">
            <v>VAR_cap</v>
          </cell>
          <cell r="C1075" t="str">
            <v>-</v>
          </cell>
          <cell r="D1075">
            <v>6.6239253520604793E-2</v>
          </cell>
          <cell r="E1075">
            <v>0.19365145114618001</v>
          </cell>
          <cell r="F1075">
            <v>0.19365351656360283</v>
          </cell>
          <cell r="G1075">
            <v>0.32373256800484762</v>
          </cell>
          <cell r="H1075">
            <v>0.41723904160660258</v>
          </cell>
          <cell r="I1075">
            <v>0.35917423651147878</v>
          </cell>
        </row>
        <row r="1076">
          <cell r="A1076" t="str">
            <v>ITOT-SWHELCBR</v>
          </cell>
          <cell r="B1076" t="str">
            <v>VAR_fout</v>
          </cell>
          <cell r="C1076" t="str">
            <v>ITOT-SWHAELC</v>
          </cell>
          <cell r="D1076">
            <v>9.8139538034048215</v>
          </cell>
          <cell r="E1076">
            <v>10.335095726842891</v>
          </cell>
          <cell r="F1076">
            <v>12.289845023810598</v>
          </cell>
          <cell r="G1076">
            <v>12.289856301659446</v>
          </cell>
          <cell r="H1076">
            <v>12.289853581343241</v>
          </cell>
          <cell r="I1076">
            <v>12.289851450726616</v>
          </cell>
        </row>
        <row r="1077">
          <cell r="A1077" t="str">
            <v>ITOT-SWHELCBR</v>
          </cell>
          <cell r="B1077" t="str">
            <v>VAR_fin</v>
          </cell>
          <cell r="C1077" t="str">
            <v>ITOT_ELC</v>
          </cell>
          <cell r="D1077">
            <v>11.647014119167387</v>
          </cell>
          <cell r="E1077">
            <v>12.258993111533863</v>
          </cell>
          <cell r="F1077">
            <v>14.566039721692613</v>
          </cell>
          <cell r="G1077">
            <v>14.546789051234173</v>
          </cell>
          <cell r="H1077">
            <v>14.508410226001093</v>
          </cell>
          <cell r="I1077">
            <v>14.47023405523205</v>
          </cell>
        </row>
        <row r="1078">
          <cell r="A1078" t="str">
            <v>ITOT-SWHELCBR</v>
          </cell>
          <cell r="B1078" t="str">
            <v>VAR_ncap</v>
          </cell>
          <cell r="C1078" t="str">
            <v>-</v>
          </cell>
          <cell r="E1078">
            <v>0.18861065380831801</v>
          </cell>
          <cell r="F1078">
            <v>8.6510000450581201E-2</v>
          </cell>
          <cell r="G1078">
            <v>1.25413244920665E-3</v>
          </cell>
          <cell r="H1078">
            <v>0.54120142289056195</v>
          </cell>
          <cell r="I1078">
            <v>0.40602363401583902</v>
          </cell>
        </row>
        <row r="1079">
          <cell r="A1079" t="str">
            <v>ITOT-SWHELCBR</v>
          </cell>
          <cell r="B1079" t="str">
            <v>VAR_cap</v>
          </cell>
          <cell r="C1079" t="str">
            <v>-</v>
          </cell>
          <cell r="D1079">
            <v>0.55644997413134401</v>
          </cell>
          <cell r="E1079">
            <v>0.74501376365641636</v>
          </cell>
          <cell r="F1079">
            <v>0.8313952311897882</v>
          </cell>
          <cell r="G1079">
            <v>0.83225514125689171</v>
          </cell>
          <cell r="H1079">
            <v>1.1272477236624063</v>
          </cell>
          <cell r="I1079">
            <v>1.039837003049664</v>
          </cell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881.76932011995791</v>
          </cell>
          <cell r="J4">
            <v>563.07725461526582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3.2826792968010041</v>
          </cell>
          <cell r="J5">
            <v>2.7035128549876837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769.46636236774452</v>
          </cell>
          <cell r="J6">
            <v>76.037869228621886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109.02027845541247</v>
          </cell>
          <cell r="J7">
            <v>484.33587253165643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H8">
            <v>54740.224069015181</v>
          </cell>
          <cell r="I8">
            <v>-1384.6987515338262</v>
          </cell>
          <cell r="J8">
            <v>-190.55435448939096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97.376262390048012</v>
          </cell>
          <cell r="J9">
            <v>1140.9256714503194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1.6339378168720637</v>
          </cell>
          <cell r="J10">
            <v>376.99571523346344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108.61380940613942</v>
          </cell>
          <cell r="J11">
            <v>1088.6143523358719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14.311502907803435</v>
          </cell>
          <cell r="J12">
            <v>714.47052455254516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0.93737907938219578</v>
          </cell>
          <cell r="J13">
            <v>3.3610267268496909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5.3133466005822735E-2</v>
          </cell>
          <cell r="J14">
            <v>0.53452301395877244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654.51098885118745</v>
          </cell>
          <cell r="J15">
            <v>1012.1993217149779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3.5132968940658573</v>
          </cell>
          <cell r="J16">
            <v>217.73050561714547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0.42725041380157319</v>
          </cell>
          <cell r="J17">
            <v>1031.9084892866658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970.56778881904017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0.34321303222940419</v>
          </cell>
          <cell r="J19">
            <v>2.1829338279393418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0.72219072204782631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7.8410582160137552E-3</v>
          </cell>
          <cell r="J21">
            <v>7.1002966091928193E-3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1.3381608844521779E-2</v>
          </cell>
          <cell r="J22">
            <v>0.38893311805301617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0.24431666212289513</v>
          </cell>
          <cell r="J23">
            <v>407.913124262699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881.76932011995791</v>
          </cell>
          <cell r="J24">
            <v>6968.4018093715513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H25">
            <v>54740.224069015181</v>
          </cell>
          <cell r="I25">
            <v>-1386.2196678379244</v>
          </cell>
          <cell r="J25">
            <v>-192.84986462078336</v>
          </cell>
        </row>
        <row r="26">
          <cell r="B26" t="str">
            <v>CO2_Q</v>
          </cell>
          <cell r="C26" t="str">
            <v>EQ_combalM</v>
          </cell>
          <cell r="D26" t="str">
            <v>-</v>
          </cell>
          <cell r="I26">
            <v>-1384.6987515338262</v>
          </cell>
          <cell r="J26">
            <v>-196.15581175591632</v>
          </cell>
        </row>
        <row r="27">
          <cell r="B27" t="str">
            <v>CO2_R</v>
          </cell>
          <cell r="C27" t="str">
            <v>VAR_fout</v>
          </cell>
          <cell r="D27" t="str">
            <v>RHNM-SHLFOBR</v>
          </cell>
          <cell r="F27">
            <v>2.1088343074204902E-2</v>
          </cell>
          <cell r="G27">
            <v>7.4528207651738603</v>
          </cell>
          <cell r="H27">
            <v>7.4639582412659298</v>
          </cell>
          <cell r="I27">
            <v>3.1283438353894999</v>
          </cell>
        </row>
        <row r="28">
          <cell r="B28" t="str">
            <v>CO2_R</v>
          </cell>
          <cell r="C28" t="str">
            <v>VAR_fout</v>
          </cell>
          <cell r="D28" t="str">
            <v>RHNS-SHNGAHP</v>
          </cell>
          <cell r="G28">
            <v>5.6826438741723599</v>
          </cell>
          <cell r="H28">
            <v>21.029804816330799</v>
          </cell>
          <cell r="I28">
            <v>34.521546283337898</v>
          </cell>
          <cell r="J28">
            <v>31.838926829576401</v>
          </cell>
        </row>
        <row r="29">
          <cell r="B29" t="str">
            <v>CO2_R</v>
          </cell>
          <cell r="C29" t="str">
            <v>VAR_fout</v>
          </cell>
          <cell r="D29" t="str">
            <v>RHNS-CHPGFC</v>
          </cell>
          <cell r="H29">
            <v>1.8728874550817201E-3</v>
          </cell>
          <cell r="I29">
            <v>0.60003659658874597</v>
          </cell>
          <cell r="J29">
            <v>0.49538293248537901</v>
          </cell>
        </row>
        <row r="30">
          <cell r="B30" t="str">
            <v>CO2_R</v>
          </cell>
          <cell r="C30" t="str">
            <v>VAR_fout</v>
          </cell>
          <cell r="D30" t="str">
            <v>RHES-CHPNGA</v>
          </cell>
          <cell r="E30">
            <v>14.004886013819799</v>
          </cell>
          <cell r="F30">
            <v>0.39196323234197</v>
          </cell>
          <cell r="G30">
            <v>2.57568333717072</v>
          </cell>
          <cell r="H30">
            <v>2.6845130263438099E-3</v>
          </cell>
          <cell r="I30">
            <v>2.4858860675861401</v>
          </cell>
          <cell r="J30">
            <v>2.0216090486759399</v>
          </cell>
        </row>
        <row r="31">
          <cell r="B31" t="str">
            <v>CO2_R</v>
          </cell>
          <cell r="C31" t="str">
            <v>VAR_fout</v>
          </cell>
          <cell r="D31" t="str">
            <v>RHEM-CHPGFC</v>
          </cell>
          <cell r="H31">
            <v>1.77668640451218E-3</v>
          </cell>
          <cell r="I31">
            <v>7.1666378057241298</v>
          </cell>
          <cell r="J31">
            <v>6.7069432688236397</v>
          </cell>
        </row>
        <row r="32">
          <cell r="B32" t="str">
            <v>CO2_R</v>
          </cell>
          <cell r="C32" t="str">
            <v>VAR_fout</v>
          </cell>
          <cell r="D32" t="str">
            <v>RHEM-SHNGABR</v>
          </cell>
          <cell r="E32">
            <v>1127.96519383033</v>
          </cell>
          <cell r="F32">
            <v>1140.95018576896</v>
          </cell>
          <cell r="G32">
            <v>1234.19418774889</v>
          </cell>
          <cell r="H32">
            <v>832.91952235982001</v>
          </cell>
          <cell r="I32">
            <v>194.405605121577</v>
          </cell>
          <cell r="J32">
            <v>104.751365134975</v>
          </cell>
        </row>
        <row r="33">
          <cell r="B33" t="str">
            <v>CO2_R</v>
          </cell>
          <cell r="C33" t="str">
            <v>VAR_fout</v>
          </cell>
          <cell r="D33" t="str">
            <v>RHSA-WHNGAHP</v>
          </cell>
          <cell r="G33">
            <v>23.911037488497001</v>
          </cell>
          <cell r="H33">
            <v>60.325882697163102</v>
          </cell>
          <cell r="I33">
            <v>96.9718568918356</v>
          </cell>
          <cell r="J33">
            <v>77.448525530141097</v>
          </cell>
        </row>
        <row r="34">
          <cell r="B34" t="str">
            <v>CO2_R</v>
          </cell>
          <cell r="C34" t="str">
            <v>VAR_fout</v>
          </cell>
          <cell r="D34" t="str">
            <v>RHEM-SHLFOBR</v>
          </cell>
          <cell r="E34">
            <v>1928.7128312743801</v>
          </cell>
          <cell r="F34">
            <v>1569.23779655577</v>
          </cell>
          <cell r="G34">
            <v>1652.8777368430799</v>
          </cell>
          <cell r="H34">
            <v>769.09124025716301</v>
          </cell>
          <cell r="I34">
            <v>102.84251833028</v>
          </cell>
          <cell r="J34">
            <v>6.2676444269646803</v>
          </cell>
        </row>
        <row r="35">
          <cell r="B35" t="str">
            <v>CO2_R</v>
          </cell>
          <cell r="C35" t="str">
            <v>VAR_fout</v>
          </cell>
          <cell r="D35" t="str">
            <v>RHES-SHNGAHP</v>
          </cell>
          <cell r="G35">
            <v>48.031494975239902</v>
          </cell>
          <cell r="H35">
            <v>51.132883350161002</v>
          </cell>
          <cell r="I35">
            <v>46.900035573659203</v>
          </cell>
          <cell r="J35">
            <v>34.198787472295002</v>
          </cell>
        </row>
        <row r="36">
          <cell r="B36" t="str">
            <v>CO2_R</v>
          </cell>
          <cell r="C36" t="str">
            <v>VAR_fout</v>
          </cell>
          <cell r="D36" t="str">
            <v>RHNS-SHNGABR</v>
          </cell>
          <cell r="F36">
            <v>6.0663916975054004</v>
          </cell>
          <cell r="G36">
            <v>0.99855037469791097</v>
          </cell>
          <cell r="H36">
            <v>2.2173224641299201</v>
          </cell>
          <cell r="I36">
            <v>3.3412105512295298</v>
          </cell>
          <cell r="J36">
            <v>2.6739867349034299</v>
          </cell>
        </row>
        <row r="37">
          <cell r="B37" t="str">
            <v>CO2_R</v>
          </cell>
          <cell r="C37" t="str">
            <v>VAR_fout</v>
          </cell>
          <cell r="D37" t="str">
            <v>RHNS-SHLFOBR</v>
          </cell>
          <cell r="F37">
            <v>4.9164915152536202E-2</v>
          </cell>
          <cell r="G37">
            <v>2.5533742899746299</v>
          </cell>
          <cell r="H37">
            <v>2.7211852376738999</v>
          </cell>
          <cell r="I37">
            <v>1.9829103602142399</v>
          </cell>
        </row>
        <row r="38">
          <cell r="B38" t="str">
            <v>CO2_R</v>
          </cell>
          <cell r="C38" t="str">
            <v>VAR_fout</v>
          </cell>
          <cell r="D38" t="str">
            <v>RHES-CHPGFC</v>
          </cell>
          <cell r="H38">
            <v>1.87267379713569E-3</v>
          </cell>
          <cell r="I38">
            <v>0.60207334914756705</v>
          </cell>
          <cell r="J38">
            <v>0.49762216575541302</v>
          </cell>
        </row>
        <row r="39">
          <cell r="B39" t="str">
            <v>CO2_R</v>
          </cell>
          <cell r="C39" t="str">
            <v>VAR_fout</v>
          </cell>
          <cell r="D39" t="str">
            <v>RHNM-CHPNGA</v>
          </cell>
          <cell r="F39">
            <v>0.37214248895430002</v>
          </cell>
          <cell r="G39">
            <v>4.3139000991964496</v>
          </cell>
          <cell r="H39">
            <v>2.7452599077871401E-3</v>
          </cell>
          <cell r="I39">
            <v>81.903850872544893</v>
          </cell>
          <cell r="J39">
            <v>56.877234057232101</v>
          </cell>
        </row>
        <row r="40">
          <cell r="B40" t="str">
            <v>CO2_R</v>
          </cell>
          <cell r="C40" t="str">
            <v>VAR_fout</v>
          </cell>
          <cell r="D40" t="str">
            <v>RHNM-SHNGAHP</v>
          </cell>
          <cell r="G40">
            <v>7.0797339931665899</v>
          </cell>
          <cell r="H40">
            <v>22.632278265320299</v>
          </cell>
          <cell r="I40">
            <v>36.737509734900499</v>
          </cell>
          <cell r="J40">
            <v>32.645212781034502</v>
          </cell>
        </row>
        <row r="41">
          <cell r="B41" t="str">
            <v>CO2_R</v>
          </cell>
          <cell r="C41" t="str">
            <v>VAR_fout</v>
          </cell>
          <cell r="D41" t="str">
            <v>RHES-SHNGABR</v>
          </cell>
          <cell r="E41">
            <v>1043.1371754469401</v>
          </cell>
          <cell r="F41">
            <v>1117.2979341202499</v>
          </cell>
          <cell r="G41">
            <v>629.40025403588402</v>
          </cell>
          <cell r="H41">
            <v>428.43076210522702</v>
          </cell>
          <cell r="I41">
            <v>144.21739250191101</v>
          </cell>
          <cell r="J41">
            <v>80.120579581828494</v>
          </cell>
        </row>
        <row r="42">
          <cell r="B42" t="str">
            <v>CO2_R</v>
          </cell>
          <cell r="C42" t="str">
            <v>VAR_fout</v>
          </cell>
          <cell r="D42" t="str">
            <v>RHSA-WHNGABR</v>
          </cell>
          <cell r="E42">
            <v>479.81223409805199</v>
          </cell>
          <cell r="F42">
            <v>414.47496213585401</v>
          </cell>
          <cell r="G42">
            <v>529.95292165810497</v>
          </cell>
          <cell r="H42">
            <v>311.39410338848398</v>
          </cell>
          <cell r="I42">
            <v>126.54380182682399</v>
          </cell>
          <cell r="J42">
            <v>77.152547652841207</v>
          </cell>
        </row>
        <row r="43">
          <cell r="B43" t="str">
            <v>CO2_R</v>
          </cell>
          <cell r="C43" t="str">
            <v>VAR_fout</v>
          </cell>
          <cell r="D43" t="str">
            <v>RHSA-WHLFOBR</v>
          </cell>
          <cell r="E43">
            <v>726.71551211018402</v>
          </cell>
          <cell r="F43">
            <v>572.01170360096501</v>
          </cell>
          <cell r="G43">
            <v>633.54982050389106</v>
          </cell>
          <cell r="H43">
            <v>248.34322590515001</v>
          </cell>
          <cell r="I43">
            <v>50.549984536065097</v>
          </cell>
          <cell r="J43">
            <v>1.9193417149936101</v>
          </cell>
        </row>
        <row r="44">
          <cell r="B44" t="str">
            <v>CO2_R</v>
          </cell>
          <cell r="C44" t="str">
            <v>VAR_fout</v>
          </cell>
          <cell r="D44" t="str">
            <v>RHES-SHLFOBR</v>
          </cell>
          <cell r="E44">
            <v>1783.6650522391999</v>
          </cell>
          <cell r="F44">
            <v>1640.96906193465</v>
          </cell>
          <cell r="G44">
            <v>1193.49821759677</v>
          </cell>
          <cell r="H44">
            <v>508.34761362930902</v>
          </cell>
          <cell r="I44">
            <v>54.288349786482598</v>
          </cell>
          <cell r="J44">
            <v>3.6262122164232502</v>
          </cell>
        </row>
        <row r="45">
          <cell r="B45" t="str">
            <v>CO2_R</v>
          </cell>
          <cell r="C45" t="str">
            <v>VAR_fout</v>
          </cell>
          <cell r="D45" t="str">
            <v>RHNS-CHPNGA</v>
          </cell>
          <cell r="F45">
            <v>0.22224738298625399</v>
          </cell>
          <cell r="G45">
            <v>2.0876246578488402</v>
          </cell>
          <cell r="H45">
            <v>2.7041517535459801E-3</v>
          </cell>
          <cell r="I45">
            <v>2.44826574465645</v>
          </cell>
          <cell r="J45">
            <v>1.98234096922756</v>
          </cell>
        </row>
        <row r="46">
          <cell r="B46" t="str">
            <v>CO2_R</v>
          </cell>
          <cell r="C46" t="str">
            <v>VAR_fout</v>
          </cell>
          <cell r="D46" t="str">
            <v>RHNM-CHPGFC</v>
          </cell>
          <cell r="H46">
            <v>1.7778783828883301E-3</v>
          </cell>
          <cell r="I46">
            <v>7.16577931179192</v>
          </cell>
          <cell r="J46">
            <v>6.7061413519085296</v>
          </cell>
        </row>
        <row r="47">
          <cell r="B47" t="str">
            <v>CO2_R</v>
          </cell>
          <cell r="C47" t="str">
            <v>VAR_fout</v>
          </cell>
          <cell r="D47" t="str">
            <v>RHEM-CHPNGA</v>
          </cell>
          <cell r="E47">
            <v>17.5455174358767</v>
          </cell>
          <cell r="F47">
            <v>0.29470365416236599</v>
          </cell>
          <cell r="G47">
            <v>4.3123856948291603</v>
          </cell>
          <cell r="H47">
            <v>2.7475356707795202E-3</v>
          </cell>
          <cell r="I47">
            <v>81.927644994670203</v>
          </cell>
          <cell r="J47">
            <v>56.886471734606197</v>
          </cell>
        </row>
        <row r="48">
          <cell r="B48" t="str">
            <v>CO2_R</v>
          </cell>
          <cell r="C48" t="str">
            <v>VAR_fout</v>
          </cell>
          <cell r="D48" t="str">
            <v>RHES-SHCOABR</v>
          </cell>
          <cell r="E48">
            <v>9.2704595072800799</v>
          </cell>
          <cell r="F48">
            <v>9.2697133600879997</v>
          </cell>
          <cell r="G48">
            <v>2.4016128343345802</v>
          </cell>
        </row>
        <row r="49">
          <cell r="B49" t="str">
            <v>CO2_R</v>
          </cell>
          <cell r="C49" t="str">
            <v>VAR_fout</v>
          </cell>
          <cell r="D49" t="str">
            <v>RHEM-SHNGAHP</v>
          </cell>
          <cell r="G49">
            <v>56.480799577341003</v>
          </cell>
          <cell r="H49">
            <v>140.80602186393099</v>
          </cell>
          <cell r="I49">
            <v>208.256701197762</v>
          </cell>
          <cell r="J49">
            <v>147.75264378365</v>
          </cell>
        </row>
        <row r="50">
          <cell r="B50" t="str">
            <v>CO2_R</v>
          </cell>
          <cell r="C50" t="str">
            <v>VAR_fout</v>
          </cell>
          <cell r="D50" t="str">
            <v>RHNM-SHNGABR</v>
          </cell>
          <cell r="F50">
            <v>43.100900002988602</v>
          </cell>
          <cell r="G50">
            <v>0.13079821311873999</v>
          </cell>
          <cell r="H50">
            <v>2.0029529531735699</v>
          </cell>
          <cell r="I50">
            <v>2.0740644974369502</v>
          </cell>
        </row>
        <row r="51">
          <cell r="B51" t="str">
            <v>CO2_R</v>
          </cell>
          <cell r="C51" t="str">
            <v>VAR_comnet</v>
          </cell>
          <cell r="D51" t="str">
            <v>-</v>
          </cell>
          <cell r="E51">
            <v>7130.8288619560699</v>
          </cell>
          <cell r="F51">
            <v>6514.7299591936999</v>
          </cell>
          <cell r="G51">
            <v>6041.4855985613904</v>
          </cell>
          <cell r="H51">
            <v>3408.8769391207002</v>
          </cell>
          <cell r="I51">
            <v>1291.0620057716201</v>
          </cell>
          <cell r="J51">
            <v>732.56951938834095</v>
          </cell>
        </row>
        <row r="52">
          <cell r="B52" t="str">
            <v>CO2_S</v>
          </cell>
          <cell r="C52" t="str">
            <v>VAR_fout</v>
          </cell>
          <cell r="D52" t="str">
            <v>SCOM-SHNGAHP</v>
          </cell>
          <cell r="G52">
            <v>61.924492917505098</v>
          </cell>
          <cell r="H52">
            <v>136.040846408677</v>
          </cell>
          <cell r="I52">
            <v>195.17233018397999</v>
          </cell>
          <cell r="J52">
            <v>144.192526207106</v>
          </cell>
        </row>
        <row r="53">
          <cell r="B53" t="str">
            <v>CO2_S</v>
          </cell>
          <cell r="C53" t="str">
            <v>VAR_fout</v>
          </cell>
          <cell r="D53" t="str">
            <v>SCOM-CHPNGA</v>
          </cell>
          <cell r="E53">
            <v>102.272680006729</v>
          </cell>
          <cell r="F53">
            <v>98.1480545203719</v>
          </cell>
          <cell r="G53">
            <v>5.8362358670781003</v>
          </cell>
          <cell r="H53">
            <v>1.94254752378095E-3</v>
          </cell>
          <cell r="I53">
            <v>458.78256879901897</v>
          </cell>
          <cell r="J53">
            <v>0.53698646719060095</v>
          </cell>
        </row>
        <row r="54">
          <cell r="B54" t="str">
            <v>CO2_S</v>
          </cell>
          <cell r="C54" t="str">
            <v>VAR_fout</v>
          </cell>
          <cell r="D54" t="str">
            <v>SCOM-SHNGABR</v>
          </cell>
          <cell r="E54">
            <v>1440.9469280160899</v>
          </cell>
          <cell r="F54">
            <v>1441.2773351880501</v>
          </cell>
          <cell r="G54">
            <v>1204.52448407364</v>
          </cell>
          <cell r="H54">
            <v>785.72914270476895</v>
          </cell>
          <cell r="I54">
            <v>228.81361055073</v>
          </cell>
          <cell r="J54">
            <v>131.98119511839499</v>
          </cell>
        </row>
        <row r="55">
          <cell r="B55" t="str">
            <v>CO2_S</v>
          </cell>
          <cell r="C55" t="str">
            <v>VAR_fout</v>
          </cell>
          <cell r="D55" t="str">
            <v>SCOM-CHPGFC</v>
          </cell>
          <cell r="H55">
            <v>3.1829729855660099E-3</v>
          </cell>
          <cell r="I55">
            <v>7.6831060188976297</v>
          </cell>
          <cell r="J55">
            <v>3.1247896525030998</v>
          </cell>
        </row>
        <row r="56">
          <cell r="B56" t="str">
            <v>CO2_S</v>
          </cell>
          <cell r="C56" t="str">
            <v>VAR_fout</v>
          </cell>
          <cell r="D56" t="str">
            <v>SCOM-SHLFOBR</v>
          </cell>
          <cell r="E56">
            <v>2229.9150876947101</v>
          </cell>
          <cell r="F56">
            <v>2052.0676607641299</v>
          </cell>
          <cell r="G56">
            <v>1797.0371835861899</v>
          </cell>
          <cell r="H56">
            <v>900.72087938634502</v>
          </cell>
          <cell r="I56">
            <v>169.79029922658501</v>
          </cell>
          <cell r="J56">
            <v>5.6554600051981598</v>
          </cell>
        </row>
        <row r="57">
          <cell r="B57" t="str">
            <v>CO2_S</v>
          </cell>
          <cell r="C57" t="str">
            <v>VAR_comnet</v>
          </cell>
          <cell r="D57" t="str">
            <v>-</v>
          </cell>
          <cell r="E57">
            <v>3773.1346957175301</v>
          </cell>
          <cell r="F57">
            <v>3591.4930504725498</v>
          </cell>
          <cell r="G57">
            <v>3069.3223964444201</v>
          </cell>
          <cell r="H57">
            <v>1822.4959940203</v>
          </cell>
          <cell r="I57">
            <v>1060.24191477921</v>
          </cell>
          <cell r="J57">
            <v>285.49095745039199</v>
          </cell>
        </row>
        <row r="58">
          <cell r="B58" t="str">
            <v>CO2_T</v>
          </cell>
          <cell r="C58" t="str">
            <v>VAR_fout</v>
          </cell>
          <cell r="D58" t="str">
            <v>T_B_u-ICENGAEXT</v>
          </cell>
          <cell r="E58">
            <v>1.73712537117881E-2</v>
          </cell>
          <cell r="F58">
            <v>1.80268412024377E-2</v>
          </cell>
          <cell r="G58">
            <v>1.7922314475334E-2</v>
          </cell>
        </row>
        <row r="59">
          <cell r="B59" t="str">
            <v>CO2_T</v>
          </cell>
          <cell r="C59" t="str">
            <v>VAR_fout</v>
          </cell>
          <cell r="D59" t="str">
            <v>TFHGV-ICENGA</v>
          </cell>
          <cell r="E59">
            <v>3.3009644584539664</v>
          </cell>
          <cell r="F59">
            <v>0.65902791754287149</v>
          </cell>
          <cell r="G59">
            <v>0.71138195036463858</v>
          </cell>
          <cell r="H59">
            <v>6.204844817639802E-2</v>
          </cell>
          <cell r="I59">
            <v>7.3899686555665201E-2</v>
          </cell>
          <cell r="J59">
            <v>6.6125110587606117E-2</v>
          </cell>
        </row>
        <row r="60">
          <cell r="B60" t="str">
            <v>CO2_T</v>
          </cell>
          <cell r="C60" t="str">
            <v>VAR_fout</v>
          </cell>
          <cell r="D60" t="str">
            <v>T-Plg-GSL-mix_S1</v>
          </cell>
          <cell r="E60">
            <v>2.39078308496346E-2</v>
          </cell>
          <cell r="F60">
            <v>0.59486202776179997</v>
          </cell>
          <cell r="G60">
            <v>0.63129505738018932</v>
          </cell>
          <cell r="H60">
            <v>6.1617204802279406E-3</v>
          </cell>
          <cell r="I60">
            <v>0.7158382912117327</v>
          </cell>
          <cell r="J60">
            <v>0.3276309604009644</v>
          </cell>
        </row>
        <row r="61">
          <cell r="B61" t="str">
            <v>CO2_T</v>
          </cell>
          <cell r="C61" t="str">
            <v>VAR_fout</v>
          </cell>
          <cell r="D61" t="str">
            <v>T-Plg-GSL-mix_S2</v>
          </cell>
          <cell r="E61">
            <v>5.8132922904476203</v>
          </cell>
          <cell r="F61">
            <v>11.12310742452917</v>
          </cell>
          <cell r="G61">
            <v>17.229031608721119</v>
          </cell>
          <cell r="H61">
            <v>3.2038804749765391E-3</v>
          </cell>
          <cell r="I61">
            <v>141.232455400818</v>
          </cell>
          <cell r="J61">
            <v>26.210964678784695</v>
          </cell>
        </row>
        <row r="62">
          <cell r="B62" t="str">
            <v>CO2_T</v>
          </cell>
          <cell r="C62" t="str">
            <v>VAR_fout</v>
          </cell>
          <cell r="D62" t="str">
            <v>T-Plg-GSL-mix_S3</v>
          </cell>
          <cell r="E62">
            <v>6.0585635840898098</v>
          </cell>
          <cell r="F62">
            <v>17.940255743619389</v>
          </cell>
          <cell r="G62">
            <v>16.13450691113972</v>
          </cell>
          <cell r="H62">
            <v>6.2184425398517026E-3</v>
          </cell>
          <cell r="I62">
            <v>272.33676885277953</v>
          </cell>
          <cell r="J62">
            <v>308.8900136011124</v>
          </cell>
        </row>
        <row r="63">
          <cell r="B63" t="str">
            <v>CO2_T</v>
          </cell>
          <cell r="C63" t="str">
            <v>VAR_fout</v>
          </cell>
          <cell r="D63" t="str">
            <v>T-Plg-GSL-mix_S4</v>
          </cell>
          <cell r="E63">
            <v>11.453210719309</v>
          </cell>
          <cell r="F63">
            <v>21.2012048061526</v>
          </cell>
          <cell r="G63">
            <v>20.574150280931612</v>
          </cell>
          <cell r="H63">
            <v>5.8681874887474735E-3</v>
          </cell>
          <cell r="I63">
            <v>6.4932676063992885</v>
          </cell>
          <cell r="J63">
            <v>2.0826210779365368</v>
          </cell>
        </row>
        <row r="64">
          <cell r="B64" t="str">
            <v>CO2_T</v>
          </cell>
          <cell r="C64" t="str">
            <v>VAR_fout</v>
          </cell>
          <cell r="D64" t="str">
            <v>TFLGV-HYBDSL</v>
          </cell>
          <cell r="F64">
            <v>31.490821308701602</v>
          </cell>
          <cell r="G64">
            <v>471.70374426936945</v>
          </cell>
          <cell r="H64">
            <v>549.22195531835473</v>
          </cell>
          <cell r="I64">
            <v>179.16110554286016</v>
          </cell>
          <cell r="J64">
            <v>138.47565432987528</v>
          </cell>
        </row>
        <row r="65">
          <cell r="B65" t="str">
            <v>CO2_T</v>
          </cell>
          <cell r="C65" t="str">
            <v>VAR_fout</v>
          </cell>
          <cell r="D65" t="str">
            <v>TFLGV-ICEGSLExt</v>
          </cell>
          <cell r="E65">
            <v>61.667133351730101</v>
          </cell>
          <cell r="F65">
            <v>129.53733826836699</v>
          </cell>
          <cell r="G65">
            <v>40.404097135289298</v>
          </cell>
          <cell r="H65">
            <v>1.5467731206467699E-3</v>
          </cell>
        </row>
        <row r="66">
          <cell r="B66" t="str">
            <v>CO2_T</v>
          </cell>
          <cell r="C66" t="str">
            <v>VAR_fout</v>
          </cell>
          <cell r="D66" t="str">
            <v>TFLGV-ICEDSLExt</v>
          </cell>
          <cell r="E66">
            <v>807.99023256681801</v>
          </cell>
          <cell r="F66">
            <v>546.40764109930797</v>
          </cell>
          <cell r="G66">
            <v>398.44476944821997</v>
          </cell>
          <cell r="H66">
            <v>1.0548964096590699E-3</v>
          </cell>
        </row>
        <row r="67">
          <cell r="B67" t="str">
            <v>CO2_T</v>
          </cell>
          <cell r="C67" t="str">
            <v>VAR_fout</v>
          </cell>
          <cell r="D67" t="str">
            <v>T_C-ICE-NGA-S1</v>
          </cell>
          <cell r="E67">
            <v>0.1956589873962116</v>
          </cell>
          <cell r="F67">
            <v>0.18744957909125656</v>
          </cell>
          <cell r="G67">
            <v>0.18783181900821469</v>
          </cell>
          <cell r="H67">
            <v>1.4159964362762827E-2</v>
          </cell>
          <cell r="I67">
            <v>3.8980289540396014E-2</v>
          </cell>
          <cell r="J67">
            <v>1.12816788927541E-2</v>
          </cell>
        </row>
        <row r="68">
          <cell r="B68" t="str">
            <v>CO2_T</v>
          </cell>
          <cell r="C68" t="str">
            <v>VAR_fout</v>
          </cell>
          <cell r="D68" t="str">
            <v>T_C-ICE-NGA-S2</v>
          </cell>
          <cell r="E68">
            <v>2.9638138563994381</v>
          </cell>
          <cell r="F68">
            <v>3.2224219207753033</v>
          </cell>
          <cell r="G68">
            <v>3.2849965315549565</v>
          </cell>
          <cell r="H68">
            <v>4.1317018709471139E-2</v>
          </cell>
          <cell r="I68">
            <v>8.3930840328707915E-2</v>
          </cell>
          <cell r="J68">
            <v>2.44536104124249E-2</v>
          </cell>
        </row>
        <row r="69">
          <cell r="B69" t="str">
            <v>CO2_T</v>
          </cell>
          <cell r="C69" t="str">
            <v>VAR_fout</v>
          </cell>
          <cell r="D69" t="str">
            <v>TFLGV-ICEDSL</v>
          </cell>
          <cell r="E69">
            <v>322.58353047345616</v>
          </cell>
          <cell r="F69">
            <v>384.3213543371084</v>
          </cell>
          <cell r="G69">
            <v>1.2090558668445417</v>
          </cell>
          <cell r="H69">
            <v>2.677436353982075E-2</v>
          </cell>
          <cell r="I69">
            <v>5.3354804662035252E-2</v>
          </cell>
          <cell r="J69">
            <v>5.2182154927423965E-2</v>
          </cell>
        </row>
        <row r="70">
          <cell r="B70" t="str">
            <v>CO2_T</v>
          </cell>
          <cell r="C70" t="str">
            <v>VAR_fout</v>
          </cell>
          <cell r="D70" t="str">
            <v>T_C-ICE-NGA-S3</v>
          </cell>
          <cell r="E70">
            <v>0.2416893431473971</v>
          </cell>
          <cell r="F70">
            <v>0.25068034341256179</v>
          </cell>
          <cell r="G70">
            <v>0.2903800989192149</v>
          </cell>
          <cell r="H70">
            <v>2.8790962824337931E-2</v>
          </cell>
          <cell r="I70">
            <v>0.11192646555423989</v>
          </cell>
          <cell r="J70">
            <v>3.19033921332431E-2</v>
          </cell>
        </row>
        <row r="71">
          <cell r="B71" t="str">
            <v>CO2_T</v>
          </cell>
          <cell r="C71" t="str">
            <v>VAR_fout</v>
          </cell>
          <cell r="D71" t="str">
            <v>T_C-ICE-NGA-S4</v>
          </cell>
          <cell r="E71">
            <v>2.671161527967445</v>
          </cell>
          <cell r="F71">
            <v>2.6776777015050164</v>
          </cell>
          <cell r="G71">
            <v>2.6290986436278501</v>
          </cell>
          <cell r="H71">
            <v>0.3765637892386724</v>
          </cell>
          <cell r="I71">
            <v>0.11727662214483765</v>
          </cell>
          <cell r="J71">
            <v>3.37724474176955E-2</v>
          </cell>
        </row>
        <row r="72">
          <cell r="B72" t="str">
            <v>CO2_T</v>
          </cell>
          <cell r="C72" t="str">
            <v>VAR_fout</v>
          </cell>
          <cell r="D72" t="str">
            <v>T_C-MHY-GSL-S1</v>
          </cell>
          <cell r="F72">
            <v>1.8200723017628201E-3</v>
          </cell>
          <cell r="G72">
            <v>3.18039884617051E-3</v>
          </cell>
          <cell r="H72">
            <v>2.3743043727059557E-2</v>
          </cell>
          <cell r="I72">
            <v>1.6779397628950921E-2</v>
          </cell>
          <cell r="J72">
            <v>2.8461020598136788E-3</v>
          </cell>
        </row>
        <row r="73">
          <cell r="B73" t="str">
            <v>CO2_T</v>
          </cell>
          <cell r="C73" t="str">
            <v>VAR_fout</v>
          </cell>
          <cell r="D73" t="str">
            <v>T_C-MHY-GSL-S2</v>
          </cell>
          <cell r="F73">
            <v>2.2905494323366398E-3</v>
          </cell>
          <cell r="G73">
            <v>4.5223266348379202E-3</v>
          </cell>
          <cell r="H73">
            <v>9.7853354593638101E-3</v>
          </cell>
          <cell r="I73">
            <v>1.560065632757723E-2</v>
          </cell>
          <cell r="J73">
            <v>5.49039714699677E-3</v>
          </cell>
        </row>
        <row r="74">
          <cell r="B74" t="str">
            <v>CO2_T</v>
          </cell>
          <cell r="C74" t="str">
            <v>VAR_fout</v>
          </cell>
          <cell r="D74" t="str">
            <v>T_C-MHY-DSL-S1</v>
          </cell>
          <cell r="F74">
            <v>1.6627563554089001E-3</v>
          </cell>
          <cell r="G74">
            <v>2.8870765560840396E-3</v>
          </cell>
          <cell r="H74">
            <v>1.5095739972064258E-2</v>
          </cell>
          <cell r="I74">
            <v>1.2415932965796531E-2</v>
          </cell>
          <cell r="J74">
            <v>2.68009287810688E-3</v>
          </cell>
        </row>
        <row r="75">
          <cell r="B75" t="str">
            <v>CO2_T</v>
          </cell>
          <cell r="C75" t="str">
            <v>VAR_fout</v>
          </cell>
          <cell r="D75" t="str">
            <v>T_C-MHY-GSL-S3</v>
          </cell>
          <cell r="F75">
            <v>2.25456025280077E-3</v>
          </cell>
          <cell r="G75">
            <v>5.1826644789665505E-3</v>
          </cell>
          <cell r="H75">
            <v>1.0387040185044719E-2</v>
          </cell>
          <cell r="I75">
            <v>1.7670382126401742E-2</v>
          </cell>
          <cell r="J75">
            <v>6.50205466906473E-3</v>
          </cell>
        </row>
        <row r="76">
          <cell r="B76" t="str">
            <v>CO2_T</v>
          </cell>
          <cell r="C76" t="str">
            <v>VAR_fout</v>
          </cell>
          <cell r="D76" t="str">
            <v>T_C-MHY-DSL-S2</v>
          </cell>
          <cell r="F76">
            <v>2.31895409248258E-3</v>
          </cell>
          <cell r="G76">
            <v>4.08947729036675E-3</v>
          </cell>
          <cell r="H76">
            <v>8.0729085483731387E-3</v>
          </cell>
          <cell r="I76">
            <v>1.3914306433681554E-2</v>
          </cell>
          <cell r="J76">
            <v>5.0864670392003902E-3</v>
          </cell>
        </row>
        <row r="77">
          <cell r="B77" t="str">
            <v>CO2_T</v>
          </cell>
          <cell r="C77" t="str">
            <v>VAR_fout</v>
          </cell>
          <cell r="D77" t="str">
            <v>T_C-MHY-GSL-S4</v>
          </cell>
          <cell r="F77">
            <v>2.5255472299560901E-3</v>
          </cell>
          <cell r="G77">
            <v>4.7195799678999405E-3</v>
          </cell>
          <cell r="H77">
            <v>1.2817928547697359E-2</v>
          </cell>
          <cell r="I77">
            <v>1.7544337566782989E-2</v>
          </cell>
          <cell r="J77">
            <v>5.63214249785929E-3</v>
          </cell>
        </row>
        <row r="78">
          <cell r="B78" t="str">
            <v>CO2_T</v>
          </cell>
          <cell r="C78" t="str">
            <v>VAR_fout</v>
          </cell>
          <cell r="D78" t="str">
            <v>T_C-MHY-DSL-S3</v>
          </cell>
          <cell r="F78">
            <v>2.1039187601944401E-3</v>
          </cell>
          <cell r="G78">
            <v>4.7764280993585198E-3</v>
          </cell>
          <cell r="H78">
            <v>8.7478402685005098E-3</v>
          </cell>
          <cell r="I78">
            <v>1.5767476736522654E-2</v>
          </cell>
          <cell r="J78">
            <v>5.9954915795404099E-3</v>
          </cell>
        </row>
        <row r="79">
          <cell r="B79" t="str">
            <v>CO2_T</v>
          </cell>
          <cell r="C79" t="str">
            <v>VAR_fout</v>
          </cell>
          <cell r="D79" t="str">
            <v>T_B_c-HYBDSL-S1</v>
          </cell>
          <cell r="F79">
            <v>0.82383295856087801</v>
          </cell>
          <cell r="G79">
            <v>1.0061992283065528</v>
          </cell>
          <cell r="H79">
            <v>4.7138946423246209</v>
          </cell>
          <cell r="I79">
            <v>2.19452337081814</v>
          </cell>
          <cell r="J79">
            <v>2.752390271605178</v>
          </cell>
        </row>
        <row r="80">
          <cell r="B80" t="str">
            <v>CO2_T</v>
          </cell>
          <cell r="C80" t="str">
            <v>VAR_fout</v>
          </cell>
          <cell r="D80" t="str">
            <v>T_C-MHY-DSL-S4</v>
          </cell>
          <cell r="F80">
            <v>2.3257444227357698E-3</v>
          </cell>
          <cell r="G80">
            <v>4.3574428729806396E-3</v>
          </cell>
          <cell r="H80">
            <v>7.7351102231878795E-3</v>
          </cell>
          <cell r="I80">
            <v>1.4692476839251057E-2</v>
          </cell>
          <cell r="J80">
            <v>5.4803711151769898E-3</v>
          </cell>
        </row>
        <row r="81">
          <cell r="B81" t="str">
            <v>CO2_T</v>
          </cell>
          <cell r="C81" t="str">
            <v>VAR_fout</v>
          </cell>
          <cell r="D81" t="str">
            <v>T_B_c-HYBDSL-S2</v>
          </cell>
          <cell r="F81">
            <v>0.130373013407629</v>
          </cell>
          <cell r="G81">
            <v>0.232670517856091</v>
          </cell>
          <cell r="H81">
            <v>3.492646119354592E-3</v>
          </cell>
          <cell r="I81">
            <v>0.76528627924414772</v>
          </cell>
          <cell r="J81">
            <v>0.43664111170976105</v>
          </cell>
        </row>
        <row r="82">
          <cell r="B82" t="str">
            <v>CO2_T</v>
          </cell>
          <cell r="C82" t="str">
            <v>VAR_fout</v>
          </cell>
          <cell r="D82" t="str">
            <v>T_B_c-HYBDSL-S3</v>
          </cell>
          <cell r="F82">
            <v>7.75315622956365E-2</v>
          </cell>
          <cell r="G82">
            <v>0.13910799981608921</v>
          </cell>
          <cell r="H82">
            <v>1.4792508800466099E-4</v>
          </cell>
          <cell r="I82">
            <v>3.7002949772427001</v>
          </cell>
          <cell r="J82">
            <v>0.68438762839815204</v>
          </cell>
        </row>
        <row r="83">
          <cell r="B83" t="str">
            <v>CO2_T</v>
          </cell>
          <cell r="C83" t="str">
            <v>VAR_fout</v>
          </cell>
          <cell r="D83" t="str">
            <v>T_B_c-HYBDSL-S4</v>
          </cell>
          <cell r="F83">
            <v>3.5419502507271002E-2</v>
          </cell>
          <cell r="G83">
            <v>6.7696419883491094E-2</v>
          </cell>
          <cell r="I83">
            <v>6.5068796695046199E-2</v>
          </cell>
          <cell r="J83">
            <v>2.0797621558356339E-2</v>
          </cell>
        </row>
        <row r="84">
          <cell r="B84" t="str">
            <v>CO2_T</v>
          </cell>
          <cell r="C84" t="str">
            <v>VAR_fout</v>
          </cell>
          <cell r="D84" t="str">
            <v>TFHGV-ICEDSLExt</v>
          </cell>
          <cell r="E84">
            <v>1408.88880974618</v>
          </cell>
          <cell r="F84">
            <v>1167.92277867289</v>
          </cell>
          <cell r="G84">
            <v>840.94588181545805</v>
          </cell>
        </row>
        <row r="85">
          <cell r="B85" t="str">
            <v>CO2_T</v>
          </cell>
          <cell r="C85" t="str">
            <v>VAR_fout</v>
          </cell>
          <cell r="D85" t="str">
            <v>TPSHPGSLEXT</v>
          </cell>
          <cell r="E85">
            <v>129.873812963153</v>
          </cell>
          <cell r="F85">
            <v>1.8832863902083899E-2</v>
          </cell>
          <cell r="G85">
            <v>0.104940733514251</v>
          </cell>
          <cell r="H85">
            <v>1.9626181604445499E-6</v>
          </cell>
          <cell r="I85">
            <v>64.031957945738498</v>
          </cell>
        </row>
        <row r="86">
          <cell r="B86" t="str">
            <v>CO2_T</v>
          </cell>
          <cell r="C86" t="str">
            <v>VAR_fout</v>
          </cell>
          <cell r="D86" t="str">
            <v>T_TW-ICEGSL-S1</v>
          </cell>
          <cell r="E86">
            <v>3.1781210154401411</v>
          </cell>
          <cell r="F86">
            <v>3.7697956017055172</v>
          </cell>
          <cell r="G86">
            <v>3.6973195430630512</v>
          </cell>
          <cell r="H86">
            <v>3.1326076214454514E-3</v>
          </cell>
          <cell r="I86">
            <v>31.327497010451292</v>
          </cell>
          <cell r="J86">
            <v>12.635339600604302</v>
          </cell>
        </row>
        <row r="87">
          <cell r="B87" t="str">
            <v>CO2_T</v>
          </cell>
          <cell r="C87" t="str">
            <v>VAR_fout</v>
          </cell>
          <cell r="D87" t="str">
            <v>TPSHPDSLEXT</v>
          </cell>
          <cell r="E87">
            <v>1273.9831592043399</v>
          </cell>
          <cell r="F87">
            <v>1022.23136951331</v>
          </cell>
          <cell r="G87">
            <v>585.99744909885806</v>
          </cell>
          <cell r="H87">
            <v>4.7423298461764001E-6</v>
          </cell>
          <cell r="I87">
            <v>1139.6199381956001</v>
          </cell>
          <cell r="J87">
            <v>1197.7891584172201</v>
          </cell>
        </row>
        <row r="88">
          <cell r="B88" t="str">
            <v>CO2_T</v>
          </cell>
          <cell r="C88" t="str">
            <v>VAR_fout</v>
          </cell>
          <cell r="D88" t="str">
            <v>T_TW-ICEGSL-S2</v>
          </cell>
          <cell r="E88">
            <v>7.9868386229531403</v>
          </cell>
          <cell r="F88">
            <v>11.996058622440987</v>
          </cell>
          <cell r="G88">
            <v>11.52304749164805</v>
          </cell>
          <cell r="H88">
            <v>3.1733244746415729E-3</v>
          </cell>
          <cell r="I88">
            <v>0.21610041705424654</v>
          </cell>
          <cell r="J88">
            <v>0.1618493238884755</v>
          </cell>
        </row>
        <row r="89">
          <cell r="B89" t="str">
            <v>CO2_T</v>
          </cell>
          <cell r="C89" t="str">
            <v>VAR_fout</v>
          </cell>
          <cell r="D89" t="str">
            <v>T_TW-ICEGSL-S3</v>
          </cell>
          <cell r="E89">
            <v>13.37270541797983</v>
          </cell>
          <cell r="F89">
            <v>14.928651510997289</v>
          </cell>
          <cell r="G89">
            <v>16.097332762350891</v>
          </cell>
          <cell r="H89">
            <v>4.1013520789417585E-3</v>
          </cell>
          <cell r="I89">
            <v>0.13009424954851712</v>
          </cell>
          <cell r="J89">
            <v>0.15095800260287023</v>
          </cell>
        </row>
        <row r="90">
          <cell r="B90" t="str">
            <v>CO2_T</v>
          </cell>
          <cell r="C90" t="str">
            <v>VAR_fout</v>
          </cell>
          <cell r="D90" t="str">
            <v>T_C-ICEGSLEXT</v>
          </cell>
          <cell r="E90">
            <v>4722.2911613673296</v>
          </cell>
          <cell r="F90">
            <v>4321.6749136313601</v>
          </cell>
          <cell r="G90">
            <v>3540.5946815349798</v>
          </cell>
          <cell r="H90">
            <v>7.4077162982880303E-4</v>
          </cell>
        </row>
        <row r="91">
          <cell r="B91" t="str">
            <v>CO2_T</v>
          </cell>
          <cell r="C91" t="str">
            <v>VAR_fout</v>
          </cell>
          <cell r="D91" t="str">
            <v>T_TW-ICEGSL-S4</v>
          </cell>
          <cell r="E91">
            <v>8.6360908452551097</v>
          </cell>
          <cell r="F91">
            <v>5.2624461096172279</v>
          </cell>
          <cell r="G91">
            <v>5.7302331235900121</v>
          </cell>
          <cell r="H91">
            <v>4.7644573193208655E-3</v>
          </cell>
          <cell r="I91">
            <v>9.5236283589491932E-2</v>
          </cell>
          <cell r="J91">
            <v>0.11192730004427409</v>
          </cell>
        </row>
        <row r="92">
          <cell r="B92" t="str">
            <v>CO2_T</v>
          </cell>
          <cell r="C92" t="str">
            <v>VAR_fout</v>
          </cell>
          <cell r="D92" t="str">
            <v>T_C-ICEDSLEXT</v>
          </cell>
          <cell r="E92">
            <v>4066.5897706999799</v>
          </cell>
          <cell r="F92">
            <v>3569.77972560952</v>
          </cell>
          <cell r="G92">
            <v>2414.60643440689</v>
          </cell>
          <cell r="H92">
            <v>6.97345382930261E-4</v>
          </cell>
        </row>
        <row r="93">
          <cell r="B93" t="str">
            <v>CO2_T</v>
          </cell>
          <cell r="C93" t="str">
            <v>VAR_fout</v>
          </cell>
          <cell r="D93" t="str">
            <v>T_TW-ICEGSLEXT</v>
          </cell>
          <cell r="E93">
            <v>142.03315290036201</v>
          </cell>
          <cell r="F93">
            <v>108.951823773765</v>
          </cell>
          <cell r="G93">
            <v>73.960778153658097</v>
          </cell>
          <cell r="H93">
            <v>3.6027534308723198E-4</v>
          </cell>
        </row>
        <row r="94">
          <cell r="B94" t="str">
            <v>CO2_T</v>
          </cell>
          <cell r="C94" t="str">
            <v>VAR_fout</v>
          </cell>
          <cell r="D94" t="str">
            <v>TFLGV-ICENGA</v>
          </cell>
          <cell r="E94">
            <v>1.3503243484520819</v>
          </cell>
          <cell r="F94">
            <v>1.3958595138852472</v>
          </cell>
          <cell r="G94">
            <v>1.1207942871181318</v>
          </cell>
          <cell r="H94">
            <v>3.2836253740672505E-2</v>
          </cell>
          <cell r="I94">
            <v>5.867407276376356E-2</v>
          </cell>
          <cell r="J94">
            <v>5.4080435156486889E-2</v>
          </cell>
        </row>
        <row r="95">
          <cell r="B95" t="str">
            <v>CO2_T</v>
          </cell>
          <cell r="C95" t="str">
            <v>VAR_fout</v>
          </cell>
          <cell r="D95" t="str">
            <v>T_B_c-ICENGA-S1</v>
          </cell>
          <cell r="F95">
            <v>0.117951283829367</v>
          </cell>
          <cell r="G95">
            <v>0.24770688128037099</v>
          </cell>
          <cell r="H95">
            <v>1.5618780039421715E-3</v>
          </cell>
          <cell r="I95">
            <v>1.586571789733828E-3</v>
          </cell>
          <cell r="J95">
            <v>5.1571946724095197E-4</v>
          </cell>
        </row>
        <row r="96">
          <cell r="B96" t="str">
            <v>CO2_T</v>
          </cell>
          <cell r="C96" t="str">
            <v>VAR_fout</v>
          </cell>
          <cell r="D96" t="str">
            <v>T_B_c-ICENGA-S2</v>
          </cell>
          <cell r="F96">
            <v>5.9986069865527597E-2</v>
          </cell>
          <cell r="G96">
            <v>0.16711295298099041</v>
          </cell>
          <cell r="I96">
            <v>2.1787332988191547E-3</v>
          </cell>
          <cell r="J96">
            <v>1.6776823807725973E-3</v>
          </cell>
        </row>
        <row r="97">
          <cell r="B97" t="str">
            <v>CO2_T</v>
          </cell>
          <cell r="C97" t="str">
            <v>VAR_fout</v>
          </cell>
          <cell r="D97" t="str">
            <v>T_B_u-ICEDSL-S1</v>
          </cell>
          <cell r="E97">
            <v>3.0672895029931133E-2</v>
          </cell>
          <cell r="F97">
            <v>15.82790447704993</v>
          </cell>
          <cell r="G97">
            <v>28.61568273657052</v>
          </cell>
          <cell r="H97">
            <v>2.7005330528680799E-3</v>
          </cell>
          <cell r="I97">
            <v>7.0630038549527405E-3</v>
          </cell>
          <cell r="J97">
            <v>6.5838845420967667E-3</v>
          </cell>
        </row>
        <row r="98">
          <cell r="B98" t="str">
            <v>CO2_T</v>
          </cell>
          <cell r="C98" t="str">
            <v>VAR_fout</v>
          </cell>
          <cell r="D98" t="str">
            <v>T_B_c-ICENGA-S3</v>
          </cell>
          <cell r="F98">
            <v>4.7600635918345E-2</v>
          </cell>
          <cell r="G98">
            <v>0.12872169577538811</v>
          </cell>
          <cell r="I98">
            <v>2.9050605743930319E-3</v>
          </cell>
          <cell r="J98">
            <v>1.8726371321262209E-3</v>
          </cell>
        </row>
        <row r="99">
          <cell r="B99" t="str">
            <v>CO2_T</v>
          </cell>
          <cell r="C99" t="str">
            <v>VAR_fout</v>
          </cell>
          <cell r="D99" t="str">
            <v>T_B_u-ICEDSL-S2</v>
          </cell>
          <cell r="E99">
            <v>7.5010592297926895</v>
          </cell>
          <cell r="F99">
            <v>9.3653573920205968</v>
          </cell>
          <cell r="G99">
            <v>15.615636021351321</v>
          </cell>
          <cell r="I99">
            <v>1.0793009197926931E-2</v>
          </cell>
          <cell r="J99">
            <v>7.6784554343738605E-3</v>
          </cell>
        </row>
        <row r="100">
          <cell r="B100" t="str">
            <v>CO2_T</v>
          </cell>
          <cell r="C100" t="str">
            <v>VAR_fout</v>
          </cell>
          <cell r="D100" t="str">
            <v>T_B_c-ICENGA-S4</v>
          </cell>
          <cell r="F100">
            <v>2.0457573618808102E-2</v>
          </cell>
          <cell r="G100">
            <v>5.1518854613247997E-2</v>
          </cell>
          <cell r="I100">
            <v>4.5429808752172306E-3</v>
          </cell>
          <cell r="J100">
            <v>1.77344684388407E-3</v>
          </cell>
        </row>
        <row r="101">
          <cell r="B101" t="str">
            <v>CO2_T</v>
          </cell>
          <cell r="C101" t="str">
            <v>VAR_fout</v>
          </cell>
          <cell r="D101" t="str">
            <v>T_B_u-ICEDSL-S3</v>
          </cell>
          <cell r="E101">
            <v>45.349830601181864</v>
          </cell>
          <cell r="F101">
            <v>65.896733646647647</v>
          </cell>
          <cell r="G101">
            <v>114.58918021186216</v>
          </cell>
          <cell r="H101">
            <v>1.9601369277289621E-3</v>
          </cell>
          <cell r="I101">
            <v>2.1988994357301103E-2</v>
          </cell>
          <cell r="J101">
            <v>1.1558850879800169E-2</v>
          </cell>
        </row>
        <row r="102">
          <cell r="B102" t="str">
            <v>CO2_T</v>
          </cell>
          <cell r="C102" t="str">
            <v>VAR_fout</v>
          </cell>
          <cell r="D102" t="str">
            <v>T_B_u-ICEDSL-S4</v>
          </cell>
          <cell r="E102">
            <v>0.91678872016548896</v>
          </cell>
          <cell r="F102">
            <v>0.28489549498647432</v>
          </cell>
          <cell r="G102">
            <v>0.32190056512043308</v>
          </cell>
          <cell r="I102">
            <v>2.8074569309851402E-2</v>
          </cell>
          <cell r="J102">
            <v>1.167654317749856E-2</v>
          </cell>
        </row>
        <row r="103">
          <cell r="B103" t="str">
            <v>CO2_T</v>
          </cell>
          <cell r="C103" t="str">
            <v>VAR_fout</v>
          </cell>
          <cell r="D103" t="str">
            <v>T_B_c-ICENGAEXT</v>
          </cell>
          <cell r="E103">
            <v>8.0514733596984793E-3</v>
          </cell>
          <cell r="F103">
            <v>8.0963820176709299E-3</v>
          </cell>
          <cell r="G103">
            <v>7.9075687687454495E-3</v>
          </cell>
        </row>
        <row r="104">
          <cell r="B104" t="str">
            <v>CO2_T</v>
          </cell>
          <cell r="C104" t="str">
            <v>VAR_fout</v>
          </cell>
          <cell r="D104" t="str">
            <v>T_B_u-ICEDSLEXT</v>
          </cell>
          <cell r="E104">
            <v>1.2695260574470599</v>
          </cell>
          <cell r="F104">
            <v>1.26910842365733</v>
          </cell>
          <cell r="G104">
            <v>1.2618716926605</v>
          </cell>
        </row>
        <row r="105">
          <cell r="B105" t="str">
            <v>CO2_T</v>
          </cell>
          <cell r="C105" t="str">
            <v>VAR_fout</v>
          </cell>
          <cell r="D105" t="str">
            <v>T_C-HYBGSLEXT</v>
          </cell>
          <cell r="E105">
            <v>92.552951779097498</v>
          </cell>
          <cell r="F105">
            <v>91.725322437131297</v>
          </cell>
          <cell r="G105">
            <v>1.0213904133448599E-3</v>
          </cell>
          <cell r="H105">
            <v>1.76597079377548E-3</v>
          </cell>
        </row>
        <row r="106">
          <cell r="B106" t="str">
            <v>CO2_T</v>
          </cell>
          <cell r="C106" t="str">
            <v>VAR_fout</v>
          </cell>
          <cell r="D106" t="str">
            <v>TPAVDKEREXT</v>
          </cell>
          <cell r="E106">
            <v>79.576349423418094</v>
          </cell>
          <cell r="F106">
            <v>100.796237247683</v>
          </cell>
          <cell r="G106">
            <v>132.626068984081</v>
          </cell>
          <cell r="H106">
            <v>185.675788544743</v>
          </cell>
          <cell r="I106">
            <v>154.38211110512901</v>
          </cell>
          <cell r="J106">
            <v>123.088433665514</v>
          </cell>
        </row>
        <row r="107">
          <cell r="B107" t="str">
            <v>CO2_T</v>
          </cell>
          <cell r="C107" t="str">
            <v>VAR_fout</v>
          </cell>
          <cell r="D107" t="str">
            <v>T_C-ICE-GSL-S1</v>
          </cell>
          <cell r="E107">
            <v>32.4123380095361</v>
          </cell>
          <cell r="F107">
            <v>40.639961474975209</v>
          </cell>
          <cell r="G107">
            <v>116.20312672286934</v>
          </cell>
          <cell r="H107">
            <v>5.3284218953822053</v>
          </cell>
          <cell r="I107">
            <v>0.18890190754497221</v>
          </cell>
          <cell r="J107">
            <v>5.5612062456381298E-2</v>
          </cell>
        </row>
        <row r="108">
          <cell r="B108" t="str">
            <v>CO2_T</v>
          </cell>
          <cell r="C108" t="str">
            <v>VAR_fout</v>
          </cell>
          <cell r="D108" t="str">
            <v>TFLGV-ICEGSL</v>
          </cell>
          <cell r="E108">
            <v>27.019429669489782</v>
          </cell>
          <cell r="F108">
            <v>42.361475889098266</v>
          </cell>
          <cell r="G108">
            <v>1.1277662300103946</v>
          </cell>
          <cell r="H108">
            <v>3.6052151614084947E-2</v>
          </cell>
          <cell r="I108">
            <v>4.7193944724054158E-2</v>
          </cell>
          <cell r="J108">
            <v>4.9811173329626729E-2</v>
          </cell>
        </row>
        <row r="109">
          <cell r="B109" t="str">
            <v>CO2_T</v>
          </cell>
          <cell r="C109" t="str">
            <v>VAR_fout</v>
          </cell>
          <cell r="D109" t="str">
            <v>T_C-ICE-GSL-S2</v>
          </cell>
          <cell r="E109">
            <v>254.3755561108475</v>
          </cell>
          <cell r="F109">
            <v>391.68787851383411</v>
          </cell>
          <cell r="G109">
            <v>582.77107218235892</v>
          </cell>
          <cell r="H109">
            <v>53.784406289235761</v>
          </cell>
          <cell r="I109">
            <v>0.42509620265160758</v>
          </cell>
          <cell r="J109">
            <v>0.12543512710329999</v>
          </cell>
        </row>
        <row r="110">
          <cell r="B110" t="str">
            <v>CO2_T</v>
          </cell>
          <cell r="C110" t="str">
            <v>VAR_fout</v>
          </cell>
          <cell r="D110" t="str">
            <v>T_C-ICE-DSL-S1</v>
          </cell>
          <cell r="E110">
            <v>0.36159569568406996</v>
          </cell>
          <cell r="F110">
            <v>0.44967151731907584</v>
          </cell>
          <cell r="G110">
            <v>0.72627110716941079</v>
          </cell>
          <cell r="H110">
            <v>6.6349719586617673E-2</v>
          </cell>
          <cell r="I110">
            <v>8.8712985594449068E-2</v>
          </cell>
          <cell r="J110">
            <v>2.60470105147389E-2</v>
          </cell>
        </row>
        <row r="111">
          <cell r="B111" t="str">
            <v>CO2_T</v>
          </cell>
          <cell r="C111" t="str">
            <v>VAR_fout</v>
          </cell>
          <cell r="D111" t="str">
            <v>T_C-ICE-GSL-S3</v>
          </cell>
          <cell r="E111">
            <v>264.21185215353574</v>
          </cell>
          <cell r="F111">
            <v>418.31711591454513</v>
          </cell>
          <cell r="G111">
            <v>410.69861216559451</v>
          </cell>
          <cell r="H111">
            <v>4.7662921591949056E-2</v>
          </cell>
          <cell r="I111">
            <v>0.37701528153493535</v>
          </cell>
          <cell r="J111">
            <v>0.10897288648542899</v>
          </cell>
        </row>
        <row r="112">
          <cell r="B112" t="str">
            <v>CO2_T</v>
          </cell>
          <cell r="C112" t="str">
            <v>VAR_fout</v>
          </cell>
          <cell r="D112" t="str">
            <v>T_C-ICE-DSL-S2</v>
          </cell>
          <cell r="E112">
            <v>87.71966597396667</v>
          </cell>
          <cell r="F112">
            <v>94.103090416435137</v>
          </cell>
          <cell r="G112">
            <v>93.66973849932171</v>
          </cell>
          <cell r="H112">
            <v>30.464413464808203</v>
          </cell>
          <cell r="I112">
            <v>0.13770129071777787</v>
          </cell>
          <cell r="J112">
            <v>4.0263591471052101E-2</v>
          </cell>
        </row>
        <row r="113">
          <cell r="B113" t="str">
            <v>CO2_T</v>
          </cell>
          <cell r="C113" t="str">
            <v>VAR_fout</v>
          </cell>
          <cell r="D113" t="str">
            <v>T_C-ICE-GSL-S4</v>
          </cell>
          <cell r="E113">
            <v>245.97108911628081</v>
          </cell>
          <cell r="F113">
            <v>387.7750961371471</v>
          </cell>
          <cell r="G113">
            <v>551.94041217697111</v>
          </cell>
          <cell r="H113">
            <v>1.7122811109152761E-2</v>
          </cell>
          <cell r="I113">
            <v>1.2239555785364213</v>
          </cell>
          <cell r="J113">
            <v>0.35822157323628601</v>
          </cell>
        </row>
        <row r="114">
          <cell r="B114" t="str">
            <v>CO2_T</v>
          </cell>
          <cell r="C114" t="str">
            <v>VAR_fout</v>
          </cell>
          <cell r="D114" t="str">
            <v>T_C-ICE-DSL-S3</v>
          </cell>
          <cell r="E114">
            <v>317.45138132971022</v>
          </cell>
          <cell r="F114">
            <v>388.91452633789601</v>
          </cell>
          <cell r="G114">
            <v>344.16207565762812</v>
          </cell>
          <cell r="H114">
            <v>1.858694525867411E-2</v>
          </cell>
          <cell r="I114">
            <v>0.14116153943526605</v>
          </cell>
          <cell r="J114">
            <v>4.0865118008807801E-2</v>
          </cell>
        </row>
        <row r="115">
          <cell r="B115" t="str">
            <v>CO2_T</v>
          </cell>
          <cell r="C115" t="str">
            <v>VAR_fout</v>
          </cell>
          <cell r="D115" t="str">
            <v>T_C-ICE-DSL-S4</v>
          </cell>
          <cell r="E115">
            <v>140.96177806147401</v>
          </cell>
          <cell r="F115">
            <v>162.02921425411472</v>
          </cell>
          <cell r="G115">
            <v>159.16308332328012</v>
          </cell>
          <cell r="H115">
            <v>9.2160631061531106E-3</v>
          </cell>
          <cell r="I115">
            <v>0.13024487481128341</v>
          </cell>
          <cell r="J115">
            <v>3.8120905754638001E-2</v>
          </cell>
        </row>
        <row r="116">
          <cell r="B116" t="str">
            <v>CO2_T</v>
          </cell>
          <cell r="C116" t="str">
            <v>VAR_fout</v>
          </cell>
          <cell r="D116" t="str">
            <v>TFLGV-ICENGAExt</v>
          </cell>
          <cell r="E116">
            <v>5.8740324093792804</v>
          </cell>
          <cell r="F116">
            <v>1.8641933843908101</v>
          </cell>
          <cell r="G116">
            <v>3.8046924878522099</v>
          </cell>
          <cell r="H116">
            <v>1.98037220726833E-2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T_B_u-HYBDSL-S1</v>
          </cell>
          <cell r="F117">
            <v>1.88146985135487</v>
          </cell>
          <cell r="G117">
            <v>2.1318680072841838</v>
          </cell>
          <cell r="H117">
            <v>2.1798508738838499E-4</v>
          </cell>
          <cell r="I117">
            <v>1.382824683253945</v>
          </cell>
          <cell r="J117">
            <v>6.9522153485965834</v>
          </cell>
        </row>
        <row r="118">
          <cell r="B118" t="str">
            <v>CO2_T</v>
          </cell>
          <cell r="C118" t="str">
            <v>VAR_fout</v>
          </cell>
          <cell r="D118" t="str">
            <v>T_B_u-HYBDSL-S2</v>
          </cell>
          <cell r="F118">
            <v>0.16023675824873601</v>
          </cell>
          <cell r="G118">
            <v>0.29769950968223402</v>
          </cell>
          <cell r="I118">
            <v>0.6555706908147394</v>
          </cell>
          <cell r="J118">
            <v>0.32820947188106581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T_B_u-HYBDSL-S3</v>
          </cell>
          <cell r="F119">
            <v>0.27551120644175697</v>
          </cell>
          <cell r="G119">
            <v>0.46594397103906504</v>
          </cell>
          <cell r="H119">
            <v>4.66894469437697E-5</v>
          </cell>
          <cell r="I119">
            <v>15.422989013871931</v>
          </cell>
          <cell r="J119">
            <v>3.2117581078511139</v>
          </cell>
        </row>
        <row r="120">
          <cell r="B120" t="str">
            <v>CO2_T</v>
          </cell>
          <cell r="C120" t="str">
            <v>VAR_fout</v>
          </cell>
          <cell r="D120" t="str">
            <v>T_C-HY-GSL-S1</v>
          </cell>
          <cell r="E120">
            <v>3.0951157928589685</v>
          </cell>
          <cell r="F120">
            <v>0.15670547885887787</v>
          </cell>
          <cell r="G120">
            <v>2.750884803249969E-3</v>
          </cell>
          <cell r="H120">
            <v>72.58194674887541</v>
          </cell>
          <cell r="I120">
            <v>15.418729602282252</v>
          </cell>
          <cell r="J120">
            <v>7.16758042129437E-2</v>
          </cell>
        </row>
        <row r="121">
          <cell r="B121" t="str">
            <v>CO2_T</v>
          </cell>
          <cell r="C121" t="str">
            <v>VAR_fout</v>
          </cell>
          <cell r="D121" t="str">
            <v>T_B_u-HYBDSL-S4</v>
          </cell>
          <cell r="F121">
            <v>2.57176977276437E-2</v>
          </cell>
          <cell r="G121">
            <v>5.1612239821193999E-2</v>
          </cell>
          <cell r="H121">
            <v>1.09180728553787E-4</v>
          </cell>
          <cell r="I121">
            <v>5.4984053940661803E-2</v>
          </cell>
          <cell r="J121">
            <v>1.756360601297928E-2</v>
          </cell>
        </row>
        <row r="122">
          <cell r="B122" t="str">
            <v>CO2_T</v>
          </cell>
          <cell r="C122" t="str">
            <v>VAR_fout</v>
          </cell>
          <cell r="D122" t="str">
            <v>TFRLFDSLEXT</v>
          </cell>
          <cell r="E122">
            <v>29.0323648699964</v>
          </cell>
          <cell r="F122">
            <v>20.651767214758301</v>
          </cell>
          <cell r="G122">
            <v>0.80730217418011196</v>
          </cell>
          <cell r="I122">
            <v>0.11816169152328</v>
          </cell>
          <cell r="J122">
            <v>0.11349903797962101</v>
          </cell>
        </row>
        <row r="123">
          <cell r="B123" t="str">
            <v>CO2_T</v>
          </cell>
          <cell r="C123" t="str">
            <v>VAR_fout</v>
          </cell>
          <cell r="D123" t="str">
            <v>T_C-HY-GSL-S2</v>
          </cell>
          <cell r="E123">
            <v>4.4551006270224729</v>
          </cell>
          <cell r="F123">
            <v>0.15636875339461737</v>
          </cell>
          <cell r="G123">
            <v>2.1198502323414914E-2</v>
          </cell>
          <cell r="H123">
            <v>600.732279896916</v>
          </cell>
          <cell r="I123">
            <v>174.97698470978327</v>
          </cell>
          <cell r="J123">
            <v>0.1526171961285232</v>
          </cell>
        </row>
        <row r="124">
          <cell r="B124" t="str">
            <v>CO2_T</v>
          </cell>
          <cell r="C124" t="str">
            <v>VAR_fout</v>
          </cell>
          <cell r="D124" t="str">
            <v>T_C-HY-DSL-S1</v>
          </cell>
          <cell r="E124">
            <v>2.97160680535673E-3</v>
          </cell>
          <cell r="F124">
            <v>7.2708327727479902E-3</v>
          </cell>
          <cell r="G124">
            <v>2.0276468264554979E-3</v>
          </cell>
          <cell r="H124">
            <v>110.08267367539088</v>
          </cell>
          <cell r="I124">
            <v>15.790462453486077</v>
          </cell>
          <cell r="J124">
            <v>6.5305507783341793E-2</v>
          </cell>
        </row>
        <row r="125">
          <cell r="B125" t="str">
            <v>CO2_T</v>
          </cell>
          <cell r="C125" t="str">
            <v>VAR_fout</v>
          </cell>
          <cell r="D125" t="str">
            <v>T_C-HY-GSL-S3</v>
          </cell>
          <cell r="E125">
            <v>5.7001917217187277</v>
          </cell>
          <cell r="F125">
            <v>85.253029294021033</v>
          </cell>
          <cell r="G125">
            <v>150.72417482291985</v>
          </cell>
          <cell r="H125">
            <v>770.83361114900447</v>
          </cell>
          <cell r="I125">
            <v>248.16674879203532</v>
          </cell>
          <cell r="J125">
            <v>0.12655242760908519</v>
          </cell>
        </row>
        <row r="126">
          <cell r="B126" t="str">
            <v>CO2_T</v>
          </cell>
          <cell r="C126" t="str">
            <v>VAR_fout</v>
          </cell>
          <cell r="D126" t="str">
            <v>T_C-HY-DSL-S2</v>
          </cell>
          <cell r="E126">
            <v>0.19138720058296449</v>
          </cell>
          <cell r="F126">
            <v>62.075437483465002</v>
          </cell>
          <cell r="G126">
            <v>58.782173543827263</v>
          </cell>
          <cell r="H126">
            <v>1038.9019804515224</v>
          </cell>
          <cell r="I126">
            <v>288.4402913519404</v>
          </cell>
          <cell r="J126">
            <v>0.12919245172585631</v>
          </cell>
        </row>
        <row r="127">
          <cell r="B127" t="str">
            <v>CO2_T</v>
          </cell>
          <cell r="C127" t="str">
            <v>VAR_fout</v>
          </cell>
          <cell r="D127" t="str">
            <v>T_C-HY-GSL-S4</v>
          </cell>
          <cell r="E127">
            <v>6.4374502315101978</v>
          </cell>
          <cell r="F127">
            <v>2.7494283469759635</v>
          </cell>
          <cell r="G127">
            <v>1.7921710583261991E-2</v>
          </cell>
          <cell r="H127">
            <v>860.6637653839224</v>
          </cell>
          <cell r="I127">
            <v>249.61231329082639</v>
          </cell>
          <cell r="J127">
            <v>0.1390760048350011</v>
          </cell>
        </row>
        <row r="128">
          <cell r="B128" t="str">
            <v>CO2_T</v>
          </cell>
          <cell r="C128" t="str">
            <v>VAR_fout</v>
          </cell>
          <cell r="D128" t="str">
            <v>T_C-HY-DSL-S3</v>
          </cell>
          <cell r="E128">
            <v>1.9358258326382449</v>
          </cell>
          <cell r="F128">
            <v>36.013055878315768</v>
          </cell>
          <cell r="G128">
            <v>33.957947691667414</v>
          </cell>
          <cell r="H128">
            <v>424.10263237288416</v>
          </cell>
          <cell r="I128">
            <v>159.66559411662814</v>
          </cell>
          <cell r="J128">
            <v>0.1069818602765289</v>
          </cell>
        </row>
        <row r="129">
          <cell r="B129" t="str">
            <v>CO2_T</v>
          </cell>
          <cell r="C129" t="str">
            <v>VAR_fout</v>
          </cell>
          <cell r="D129" t="str">
            <v>T_C-HY-DSL-S4</v>
          </cell>
          <cell r="E129">
            <v>2.5128907722098166</v>
          </cell>
          <cell r="F129">
            <v>3.6168815303041795</v>
          </cell>
          <cell r="G129">
            <v>3.2777444456874592</v>
          </cell>
          <cell r="H129">
            <v>20.443765595218562</v>
          </cell>
          <cell r="I129">
            <v>5.4871113542745977</v>
          </cell>
          <cell r="J129">
            <v>0.11809641260729362</v>
          </cell>
        </row>
        <row r="130">
          <cell r="B130" t="str">
            <v>CO2_T</v>
          </cell>
          <cell r="C130" t="str">
            <v>VAR_fout</v>
          </cell>
          <cell r="D130" t="str">
            <v>TFHGV-HYBDSL</v>
          </cell>
          <cell r="F130">
            <v>67.770957145138198</v>
          </cell>
          <cell r="G130">
            <v>304.65362139875197</v>
          </cell>
          <cell r="H130">
            <v>1007.7282512119996</v>
          </cell>
          <cell r="I130">
            <v>1122.238583229934</v>
          </cell>
          <cell r="J130">
            <v>85.4336654669155</v>
          </cell>
        </row>
        <row r="131">
          <cell r="B131" t="str">
            <v>CO2_T</v>
          </cell>
          <cell r="C131" t="str">
            <v>VAR_fout</v>
          </cell>
          <cell r="D131" t="str">
            <v>TFHGV-ICEDSL</v>
          </cell>
          <cell r="E131">
            <v>382.35275857230954</v>
          </cell>
          <cell r="F131">
            <v>449.00189372201402</v>
          </cell>
          <cell r="G131">
            <v>350.32067428671633</v>
          </cell>
          <cell r="H131">
            <v>3.1850639674035788E-3</v>
          </cell>
          <cell r="I131">
            <v>0.59497162885514998</v>
          </cell>
          <cell r="J131">
            <v>0.19628406755896308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T-Plg-DSL-mix_S1</v>
          </cell>
          <cell r="E132">
            <v>1.63431077214895E-3</v>
          </cell>
          <cell r="F132">
            <v>0.89859388197608603</v>
          </cell>
          <cell r="G132">
            <v>1.0166112185353591</v>
          </cell>
          <cell r="H132">
            <v>3.9702422678063879E-3</v>
          </cell>
          <cell r="I132">
            <v>0.69592772493515531</v>
          </cell>
          <cell r="J132">
            <v>0.31972729549770706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T-Plg-DSL-mix_S2</v>
          </cell>
          <cell r="E133">
            <v>4.1247969201016E-3</v>
          </cell>
          <cell r="F133">
            <v>0.33221640767727101</v>
          </cell>
          <cell r="G133">
            <v>154.30864008213342</v>
          </cell>
          <cell r="H133">
            <v>3.2436217074932284E-3</v>
          </cell>
          <cell r="I133">
            <v>102.77614629129413</v>
          </cell>
          <cell r="J133">
            <v>18.018838649930938</v>
          </cell>
        </row>
        <row r="134">
          <cell r="B134" t="str">
            <v>CO2_T</v>
          </cell>
          <cell r="C134" t="str">
            <v>VAR_fout</v>
          </cell>
          <cell r="D134" t="str">
            <v>T-Plg-DSL-mix_S3</v>
          </cell>
          <cell r="E134">
            <v>1.42758811767208E-2</v>
          </cell>
          <cell r="F134">
            <v>0.263870909350303</v>
          </cell>
          <cell r="G134">
            <v>0.76183524467932795</v>
          </cell>
          <cell r="H134">
            <v>6.6174111619031152E-3</v>
          </cell>
          <cell r="I134">
            <v>186.19996763617112</v>
          </cell>
          <cell r="J134">
            <v>210.96776147960142</v>
          </cell>
        </row>
        <row r="135">
          <cell r="B135" t="str">
            <v>CO2_T</v>
          </cell>
          <cell r="C135" t="str">
            <v>VAR_fout</v>
          </cell>
          <cell r="D135" t="str">
            <v>T_B_c-ICEDSL-S1</v>
          </cell>
          <cell r="E135">
            <v>8.2066964551711603</v>
          </cell>
          <cell r="F135">
            <v>21.241573916276099</v>
          </cell>
          <cell r="G135">
            <v>25.530647195124754</v>
          </cell>
          <cell r="H135">
            <v>4.6936991734862477E-4</v>
          </cell>
          <cell r="I135">
            <v>4.58203045531929E-3</v>
          </cell>
          <cell r="J135">
            <v>3.42856102228531E-3</v>
          </cell>
        </row>
        <row r="136">
          <cell r="B136" t="str">
            <v>CO2_T</v>
          </cell>
          <cell r="C136" t="str">
            <v>VAR_fout</v>
          </cell>
          <cell r="D136" t="str">
            <v>T-Plg-DSL-mix_S4</v>
          </cell>
          <cell r="E136">
            <v>0.41095409985498199</v>
          </cell>
          <cell r="F136">
            <v>59.184807124534998</v>
          </cell>
          <cell r="G136">
            <v>56.258941295836024</v>
          </cell>
          <cell r="H136">
            <v>5.4350454425178395E-3</v>
          </cell>
          <cell r="I136">
            <v>5.050913748439454</v>
          </cell>
          <cell r="J136">
            <v>1.8434572315507749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T_B_c-ICEDSL-S2</v>
          </cell>
          <cell r="E137">
            <v>37.861634870842501</v>
          </cell>
          <cell r="F137">
            <v>28.551023939113506</v>
          </cell>
          <cell r="G137">
            <v>34.880519106998641</v>
          </cell>
          <cell r="I137">
            <v>7.7956374709316689E-3</v>
          </cell>
          <cell r="J137">
            <v>6.45677229727094E-3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T_B_c-ICEDSL-S3</v>
          </cell>
          <cell r="E138">
            <v>11.259300960669229</v>
          </cell>
          <cell r="F138">
            <v>8.9369526360215055</v>
          </cell>
          <cell r="G138">
            <v>10.814141763529896</v>
          </cell>
          <cell r="H138">
            <v>4.4450828455823497E-5</v>
          </cell>
          <cell r="I138">
            <v>9.6918289998966407E-3</v>
          </cell>
          <cell r="J138">
            <v>7.3375329715198601E-3</v>
          </cell>
        </row>
        <row r="139">
          <cell r="B139" t="str">
            <v>CO2_T</v>
          </cell>
          <cell r="C139" t="str">
            <v>VAR_fout</v>
          </cell>
          <cell r="D139" t="str">
            <v>T_B_c-ICEDSL-S4</v>
          </cell>
          <cell r="E139">
            <v>2.0354255309164939</v>
          </cell>
          <cell r="F139">
            <v>0.34684664672331539</v>
          </cell>
          <cell r="G139">
            <v>0.41112668847580147</v>
          </cell>
          <cell r="H139">
            <v>6.57082978667724E-5</v>
          </cell>
          <cell r="I139">
            <v>1.5573552309709981E-2</v>
          </cell>
          <cell r="J139">
            <v>5.7862550483709189E-3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T_B_u-ICENGA-S1</v>
          </cell>
          <cell r="F140">
            <v>0.123661718315457</v>
          </cell>
          <cell r="G140">
            <v>0.28505019845616797</v>
          </cell>
          <cell r="H140">
            <v>2.1528377690689868E-3</v>
          </cell>
          <cell r="I140">
            <v>5.2116981630944848E-3</v>
          </cell>
          <cell r="J140">
            <v>4.4107490418452654E-3</v>
          </cell>
        </row>
        <row r="141">
          <cell r="B141" t="str">
            <v>CO2_T</v>
          </cell>
          <cell r="C141" t="str">
            <v>VAR_fout</v>
          </cell>
          <cell r="D141" t="str">
            <v>T_B_u-ICENGA-S2</v>
          </cell>
          <cell r="F141">
            <v>8.4555347332539596E-2</v>
          </cell>
          <cell r="G141">
            <v>0.33416762722764204</v>
          </cell>
          <cell r="H141">
            <v>3.1872546223156098E-4</v>
          </cell>
          <cell r="I141">
            <v>6.9113215393175106E-3</v>
          </cell>
          <cell r="J141">
            <v>5.6887382924940902E-3</v>
          </cell>
        </row>
        <row r="142">
          <cell r="B142" t="str">
            <v>CO2_T</v>
          </cell>
          <cell r="C142" t="str">
            <v>VAR_fout</v>
          </cell>
          <cell r="D142" t="str">
            <v>T_B_c-ICEDSLEXT</v>
          </cell>
          <cell r="E142">
            <v>0.44199611252582599</v>
          </cell>
          <cell r="F142">
            <v>0.44081853331460802</v>
          </cell>
          <cell r="G142">
            <v>0.43579828891474398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T_B_u-ICENGA-S3</v>
          </cell>
          <cell r="F143">
            <v>9.7760971362813504E-2</v>
          </cell>
          <cell r="G143">
            <v>0.57098832180111103</v>
          </cell>
          <cell r="H143">
            <v>7.3783412519329013E-4</v>
          </cell>
          <cell r="I143">
            <v>1.135087731666996E-2</v>
          </cell>
          <cell r="J143">
            <v>8.6597420139217993E-3</v>
          </cell>
        </row>
        <row r="144">
          <cell r="B144" t="str">
            <v>CO2_T</v>
          </cell>
          <cell r="C144" t="str">
            <v>VAR_fout</v>
          </cell>
          <cell r="D144" t="str">
            <v>T_B_u-ICENGA-S4</v>
          </cell>
          <cell r="F144">
            <v>1.4744243862461299E-2</v>
          </cell>
          <cell r="G144">
            <v>4.0112206690538596E-2</v>
          </cell>
          <cell r="I144">
            <v>1.1428049556590679E-2</v>
          </cell>
          <cell r="J144">
            <v>7.5660405689715604E-3</v>
          </cell>
        </row>
        <row r="145">
          <cell r="B145" t="str">
            <v>CO2_T</v>
          </cell>
          <cell r="C145" t="str">
            <v>VAR_comnet</v>
          </cell>
          <cell r="D145" t="str">
            <v>-</v>
          </cell>
          <cell r="E145">
            <v>15102.6805263311</v>
          </cell>
          <cell r="F145">
            <v>14442.523616255899</v>
          </cell>
          <cell r="G145">
            <v>12218.374964630601</v>
          </cell>
          <cell r="H145">
            <v>5736.2327307179503</v>
          </cell>
          <cell r="I145">
            <v>4592.7909096622698</v>
          </cell>
          <cell r="J145">
            <v>2143.3807780277998</v>
          </cell>
        </row>
        <row r="146">
          <cell r="B146" t="str">
            <v>CO2</v>
          </cell>
          <cell r="C146" t="str">
            <v>VAR_fout</v>
          </cell>
          <cell r="D146" t="str">
            <v>EWSTINCCS</v>
          </cell>
          <cell r="I146">
            <v>-97.376262390047998</v>
          </cell>
          <cell r="J146">
            <v>-1140.9256714503199</v>
          </cell>
        </row>
        <row r="147">
          <cell r="B147" t="str">
            <v>CO2</v>
          </cell>
          <cell r="C147" t="str">
            <v>VAR_fout</v>
          </cell>
          <cell r="D147" t="str">
            <v>othGHG</v>
          </cell>
          <cell r="E147">
            <v>9468.5879275113693</v>
          </cell>
          <cell r="F147">
            <v>9167.1983075218704</v>
          </cell>
          <cell r="G147">
            <v>8865.8086875323806</v>
          </cell>
          <cell r="H147">
            <v>8725.1015214688105</v>
          </cell>
          <cell r="I147">
            <v>8640.6788195305508</v>
          </cell>
          <cell r="J147">
            <v>4862.9759929102302</v>
          </cell>
        </row>
        <row r="148">
          <cell r="B148" t="str">
            <v>CO2</v>
          </cell>
          <cell r="C148" t="str">
            <v>VAR_fout</v>
          </cell>
          <cell r="D148" t="str">
            <v>D-ICOA</v>
          </cell>
          <cell r="E148">
            <v>330.01317072986899</v>
          </cell>
          <cell r="F148">
            <v>321.17948001959502</v>
          </cell>
          <cell r="G148">
            <v>3.6482622381522001</v>
          </cell>
          <cell r="H148">
            <v>7.2716416434275596E-4</v>
          </cell>
          <cell r="I148">
            <v>5.2523212204916299E-2</v>
          </cell>
          <cell r="J148">
            <v>0.12663997927332099</v>
          </cell>
        </row>
        <row r="149">
          <cell r="B149" t="str">
            <v>CO2</v>
          </cell>
          <cell r="C149" t="str">
            <v>VAR_fout</v>
          </cell>
          <cell r="D149" t="str">
            <v>ENGA-CCS</v>
          </cell>
          <cell r="I149">
            <v>-1.63393781687207</v>
          </cell>
          <cell r="J149">
            <v>-376.99571523346299</v>
          </cell>
        </row>
        <row r="150">
          <cell r="B150" t="str">
            <v>CO2</v>
          </cell>
          <cell r="C150" t="str">
            <v>VAR_fout</v>
          </cell>
          <cell r="D150" t="str">
            <v>CHPWSTCCS</v>
          </cell>
          <cell r="I150">
            <v>-108.613809406139</v>
          </cell>
          <cell r="J150">
            <v>-1088.6143523358701</v>
          </cell>
        </row>
        <row r="151">
          <cell r="B151" t="str">
            <v>CO2</v>
          </cell>
          <cell r="C151" t="str">
            <v>VAR_fout</v>
          </cell>
          <cell r="D151" t="str">
            <v>D-ENGA</v>
          </cell>
          <cell r="E151">
            <v>320.227058635444</v>
          </cell>
          <cell r="F151">
            <v>73.040682430698695</v>
          </cell>
          <cell r="G151">
            <v>61.637780583763899</v>
          </cell>
          <cell r="H151">
            <v>6.2842461620434095E-2</v>
          </cell>
          <cell r="I151">
            <v>27.166220308907501</v>
          </cell>
          <cell r="J151">
            <v>1.51312790175469E-3</v>
          </cell>
        </row>
        <row r="152">
          <cell r="B152" t="str">
            <v>CO2</v>
          </cell>
          <cell r="C152" t="str">
            <v>VAR_fout</v>
          </cell>
          <cell r="D152" t="str">
            <v>D-ILFO</v>
          </cell>
          <cell r="E152">
            <v>693.20191611779796</v>
          </cell>
          <cell r="F152">
            <v>659.57527017590303</v>
          </cell>
          <cell r="G152">
            <v>597.36194934803905</v>
          </cell>
          <cell r="H152">
            <v>369.813180616593</v>
          </cell>
          <cell r="I152">
            <v>287.566367649661</v>
          </cell>
          <cell r="J152">
            <v>7.9404661892663007E-3</v>
          </cell>
        </row>
        <row r="153">
          <cell r="B153" t="str">
            <v>CO2</v>
          </cell>
          <cell r="C153" t="str">
            <v>VAR_fout</v>
          </cell>
          <cell r="D153" t="str">
            <v>ITOT-CHPWSTCCS</v>
          </cell>
          <cell r="I153">
            <v>-14.3115029078034</v>
          </cell>
          <cell r="J153">
            <v>-714.47052455254595</v>
          </cell>
        </row>
        <row r="154">
          <cell r="B154" t="str">
            <v>CO2</v>
          </cell>
          <cell r="C154" t="str">
            <v>VAR_fout</v>
          </cell>
          <cell r="D154" t="str">
            <v>ITOT-CHPNGACCS</v>
          </cell>
          <cell r="I154">
            <v>-0.937379079382195</v>
          </cell>
          <cell r="J154">
            <v>-3.3610267268496901</v>
          </cell>
        </row>
        <row r="155">
          <cell r="B155" t="str">
            <v>CO2</v>
          </cell>
          <cell r="C155" t="str">
            <v>VAR_fout</v>
          </cell>
          <cell r="D155" t="str">
            <v>D-TDSL</v>
          </cell>
          <cell r="E155">
            <v>8870.0666725759293</v>
          </cell>
          <cell r="F155">
            <v>8124.5228384515103</v>
          </cell>
          <cell r="G155">
            <v>6387.5609625738298</v>
          </cell>
          <cell r="H155">
            <v>3052.69770722674</v>
          </cell>
          <cell r="I155">
            <v>3081.1222962355901</v>
          </cell>
          <cell r="J155">
            <v>484.335757542858</v>
          </cell>
        </row>
        <row r="156">
          <cell r="B156" t="str">
            <v>CO2</v>
          </cell>
          <cell r="C156" t="str">
            <v>VAR_fout</v>
          </cell>
          <cell r="D156" t="str">
            <v>ITOT-PROCESSCO2</v>
          </cell>
          <cell r="E156">
            <v>2089.34680048464</v>
          </cell>
          <cell r="F156">
            <v>2111.0131698740802</v>
          </cell>
          <cell r="G156">
            <v>2102.26947106126</v>
          </cell>
          <cell r="H156">
            <v>2093.6579792587099</v>
          </cell>
          <cell r="I156">
            <v>2077.4577516727099</v>
          </cell>
          <cell r="J156">
            <v>2063.7580725596099</v>
          </cell>
        </row>
        <row r="157">
          <cell r="B157" t="str">
            <v>CO2</v>
          </cell>
          <cell r="C157" t="str">
            <v>VAR_fout</v>
          </cell>
          <cell r="D157" t="str">
            <v>D-ELFO</v>
          </cell>
          <cell r="E157">
            <v>35.841156330201599</v>
          </cell>
          <cell r="F157">
            <v>17.141244009339299</v>
          </cell>
          <cell r="G157">
            <v>9.1442494469875797</v>
          </cell>
          <cell r="H157">
            <v>5.8976109643898598</v>
          </cell>
          <cell r="I157">
            <v>1.2235552886366601</v>
          </cell>
          <cell r="J157">
            <v>1.7095980043334898E-2</v>
          </cell>
        </row>
        <row r="158">
          <cell r="B158" t="str">
            <v>CO2</v>
          </cell>
          <cell r="C158" t="str">
            <v>VAR_fout</v>
          </cell>
          <cell r="D158" t="str">
            <v>D-TNGA</v>
          </cell>
          <cell r="E158">
            <v>15.2576094124087</v>
          </cell>
          <cell r="F158">
            <v>9.8306944149153406</v>
          </cell>
          <cell r="G158">
            <v>12.6261243924751</v>
          </cell>
          <cell r="H158">
            <v>0.43450380209463602</v>
          </cell>
          <cell r="I158">
            <v>0.42422815972606798</v>
          </cell>
          <cell r="J158">
            <v>0.181195602022035</v>
          </cell>
        </row>
        <row r="159">
          <cell r="B159" t="str">
            <v>CO2</v>
          </cell>
          <cell r="C159" t="str">
            <v>VAR_fout</v>
          </cell>
          <cell r="D159" t="str">
            <v>D-SNGA</v>
          </cell>
          <cell r="E159">
            <v>1531.1157641596001</v>
          </cell>
          <cell r="F159">
            <v>1509.0083738590599</v>
          </cell>
          <cell r="G159">
            <v>1250.3327362170401</v>
          </cell>
          <cell r="H159">
            <v>813.36564766532797</v>
          </cell>
          <cell r="I159">
            <v>830.58722876649904</v>
          </cell>
          <cell r="J159">
            <v>280.56514376185498</v>
          </cell>
        </row>
        <row r="160">
          <cell r="B160" t="str">
            <v>CO2</v>
          </cell>
          <cell r="C160" t="str">
            <v>VAR_fout</v>
          </cell>
          <cell r="D160" t="str">
            <v>CO2compabroad</v>
          </cell>
          <cell r="H160">
            <v>-4.1683657523861597E-3</v>
          </cell>
          <cell r="I160">
            <v>-5872.4983506679</v>
          </cell>
          <cell r="J160">
            <v>-4862.9758480752998</v>
          </cell>
        </row>
        <row r="161">
          <cell r="B161" t="str">
            <v>CO2</v>
          </cell>
          <cell r="C161" t="str">
            <v>VAR_fout</v>
          </cell>
          <cell r="D161" t="str">
            <v>D-RNGA</v>
          </cell>
          <cell r="E161">
            <v>2673.8047481358999</v>
          </cell>
          <cell r="F161">
            <v>2695.2912949486899</v>
          </cell>
          <cell r="G161">
            <v>2526.55442811378</v>
          </cell>
          <cell r="H161">
            <v>1645.07720598778</v>
          </cell>
          <cell r="I161">
            <v>982.08263303164495</v>
          </cell>
          <cell r="J161">
            <v>722.88493779895396</v>
          </cell>
        </row>
        <row r="162">
          <cell r="B162" t="str">
            <v>CO2</v>
          </cell>
          <cell r="C162" t="str">
            <v>VAR_fout</v>
          </cell>
          <cell r="D162" t="str">
            <v>D-IHFO</v>
          </cell>
          <cell r="E162">
            <v>213.78133963827</v>
          </cell>
          <cell r="F162">
            <v>99.122868260529501</v>
          </cell>
          <cell r="G162">
            <v>1.6655808705970101</v>
          </cell>
          <cell r="H162">
            <v>5.7267566532587699E-4</v>
          </cell>
          <cell r="I162">
            <v>4.7740598343978799E-2</v>
          </cell>
        </row>
        <row r="163">
          <cell r="B163" t="str">
            <v>CO2</v>
          </cell>
          <cell r="C163" t="str">
            <v>VAR_fout</v>
          </cell>
          <cell r="D163" t="str">
            <v>SUP_WSTHTGBIOCCS</v>
          </cell>
          <cell r="I163">
            <v>-5.3133466005822701E-2</v>
          </cell>
          <cell r="J163">
            <v>-0.534523013958772</v>
          </cell>
        </row>
        <row r="164">
          <cell r="B164" t="str">
            <v>CO2</v>
          </cell>
          <cell r="C164" t="str">
            <v>VAR_fout</v>
          </cell>
          <cell r="D164" t="str">
            <v>D-SLFO</v>
          </cell>
          <cell r="E164">
            <v>2267.7898205700799</v>
          </cell>
          <cell r="F164">
            <v>2086.9216849924601</v>
          </cell>
          <cell r="G164">
            <v>1827.38071846405</v>
          </cell>
          <cell r="H164">
            <v>915.64795641270098</v>
          </cell>
          <cell r="I164">
            <v>172.35154284727301</v>
          </cell>
          <cell r="J164">
            <v>8.9563674578452303E-3</v>
          </cell>
        </row>
        <row r="165">
          <cell r="B165" t="str">
            <v>CO2</v>
          </cell>
          <cell r="C165" t="str">
            <v>VAR_fout</v>
          </cell>
          <cell r="D165" t="str">
            <v>D-RCOA</v>
          </cell>
          <cell r="E165">
            <v>9.2704595072800799</v>
          </cell>
          <cell r="F165">
            <v>9.2697133600879997</v>
          </cell>
          <cell r="G165">
            <v>2.4016128343345802</v>
          </cell>
        </row>
        <row r="166">
          <cell r="B166" t="str">
            <v>CO2</v>
          </cell>
          <cell r="C166" t="str">
            <v>VAR_fout</v>
          </cell>
          <cell r="D166" t="str">
            <v>ITOT-CHPWODCCS</v>
          </cell>
          <cell r="I166">
            <v>-654.51098885118699</v>
          </cell>
          <cell r="J166">
            <v>-1012.19932171498</v>
          </cell>
        </row>
        <row r="167">
          <cell r="B167" t="str">
            <v>CO2</v>
          </cell>
          <cell r="C167" t="str">
            <v>VAR_fout</v>
          </cell>
          <cell r="D167" t="str">
            <v>D-RLFO</v>
          </cell>
          <cell r="E167">
            <v>4514.4906506564103</v>
          </cell>
          <cell r="F167">
            <v>3846.5303550070598</v>
          </cell>
          <cell r="G167">
            <v>3549.0163072932201</v>
          </cell>
          <cell r="H167">
            <v>1561.6635510880201</v>
          </cell>
          <cell r="I167">
            <v>216.070003714384</v>
          </cell>
          <cell r="J167">
            <v>8.9598321802067601E-3</v>
          </cell>
        </row>
        <row r="168">
          <cell r="B168" t="str">
            <v>CO2</v>
          </cell>
          <cell r="C168" t="str">
            <v>VAR_fout</v>
          </cell>
          <cell r="D168" t="str">
            <v>D-TGSL</v>
          </cell>
          <cell r="E168">
            <v>5802.7066787600197</v>
          </cell>
          <cell r="F168">
            <v>5859.4592382193196</v>
          </cell>
          <cell r="G168">
            <v>5333.9659886400996</v>
          </cell>
          <cell r="H168">
            <v>1849.9343188973201</v>
          </cell>
          <cell r="I168">
            <v>813.08191870668099</v>
          </cell>
          <cell r="J168">
            <v>76.037869228621901</v>
          </cell>
        </row>
        <row r="169">
          <cell r="B169" t="str">
            <v>CO2</v>
          </cell>
          <cell r="C169" t="str">
            <v>VAR_fout</v>
          </cell>
          <cell r="D169" t="str">
            <v>EWOD-CCS</v>
          </cell>
          <cell r="I169">
            <v>-3.51329689406586</v>
          </cell>
          <cell r="J169">
            <v>-217.73050561714601</v>
          </cell>
        </row>
        <row r="170">
          <cell r="B170" t="str">
            <v>CO2</v>
          </cell>
          <cell r="C170" t="str">
            <v>VAR_fout</v>
          </cell>
          <cell r="D170" t="str">
            <v>ITOT-PROCESSCO2CCS</v>
          </cell>
          <cell r="I170">
            <v>-0.42725041380157303</v>
          </cell>
          <cell r="J170">
            <v>-1031.9084892866699</v>
          </cell>
        </row>
        <row r="171">
          <cell r="B171" t="str">
            <v>CO2</v>
          </cell>
          <cell r="C171" t="str">
            <v>VAR_fout</v>
          </cell>
          <cell r="D171" t="str">
            <v>D-IWST</v>
          </cell>
          <cell r="E171">
            <v>1068.13101199579</v>
          </cell>
          <cell r="F171">
            <v>1094.4824590978401</v>
          </cell>
          <cell r="G171">
            <v>1024.6428186840801</v>
          </cell>
          <cell r="H171">
            <v>1045.95683309333</v>
          </cell>
          <cell r="I171">
            <v>996.69825898757995</v>
          </cell>
          <cell r="J171">
            <v>986.58592458571798</v>
          </cell>
        </row>
        <row r="172">
          <cell r="B172" t="str">
            <v>CO2</v>
          </cell>
          <cell r="C172" t="str">
            <v>VAR_fout</v>
          </cell>
          <cell r="D172" t="str">
            <v>SUP_WODH2CCS</v>
          </cell>
          <cell r="J172">
            <v>-970.56778881903995</v>
          </cell>
        </row>
        <row r="173">
          <cell r="B173" t="str">
            <v>CO2</v>
          </cell>
          <cell r="C173" t="str">
            <v>VAR_fout</v>
          </cell>
          <cell r="D173" t="str">
            <v>SUP_WODBIOCCS</v>
          </cell>
          <cell r="I173">
            <v>-0.34321303222940402</v>
          </cell>
          <cell r="J173">
            <v>-2.18293382793934</v>
          </cell>
        </row>
        <row r="174">
          <cell r="B174" t="str">
            <v>CO2</v>
          </cell>
          <cell r="C174" t="str">
            <v>VAR_fout</v>
          </cell>
          <cell r="D174" t="str">
            <v>SUP_NGAH2CCS</v>
          </cell>
          <cell r="J174">
            <v>-0.72219072204782697</v>
          </cell>
        </row>
        <row r="175">
          <cell r="B175" t="str">
            <v>CO2</v>
          </cell>
          <cell r="C175" t="str">
            <v>VAR_fout</v>
          </cell>
          <cell r="D175" t="str">
            <v>CT_CWODETHCCS</v>
          </cell>
          <cell r="I175">
            <v>-7.8410582160137604E-3</v>
          </cell>
          <cell r="J175">
            <v>-7.1002966091928202E-3</v>
          </cell>
        </row>
        <row r="176">
          <cell r="B176" t="str">
            <v>CO2</v>
          </cell>
          <cell r="C176" t="str">
            <v>VAR_fout</v>
          </cell>
          <cell r="D176" t="str">
            <v>D-TKER</v>
          </cell>
          <cell r="E176">
            <v>80.763254672403804</v>
          </cell>
          <cell r="F176">
            <v>102.299643522715</v>
          </cell>
          <cell r="G176">
            <v>134.604226798182</v>
          </cell>
          <cell r="H176">
            <v>148.14372224578401</v>
          </cell>
          <cell r="I176">
            <v>132.56864746629199</v>
          </cell>
          <cell r="J176">
            <v>1.14204426107086E-4</v>
          </cell>
        </row>
        <row r="177">
          <cell r="B177" t="str">
            <v>CO2</v>
          </cell>
          <cell r="C177" t="str">
            <v>VAR_fout</v>
          </cell>
          <cell r="D177" t="str">
            <v>D-INGA</v>
          </cell>
          <cell r="E177">
            <v>2106.8165314194298</v>
          </cell>
          <cell r="F177">
            <v>1731.775261793</v>
          </cell>
          <cell r="G177">
            <v>1746.96158743568</v>
          </cell>
          <cell r="H177">
            <v>691.41909176446995</v>
          </cell>
          <cell r="I177">
            <v>200.159411946657</v>
          </cell>
          <cell r="J177">
            <v>36.610490506149901</v>
          </cell>
        </row>
        <row r="178">
          <cell r="B178" t="str">
            <v>CO2</v>
          </cell>
          <cell r="C178" t="str">
            <v>VAR_fout</v>
          </cell>
          <cell r="D178" t="str">
            <v>SUP_DAC</v>
          </cell>
          <cell r="I178">
            <v>-1.3381608844521799E-2</v>
          </cell>
          <cell r="J178">
            <v>-0.388933118053016</v>
          </cell>
        </row>
        <row r="179">
          <cell r="B179" t="str">
            <v>CO2</v>
          </cell>
          <cell r="C179" t="str">
            <v>VAR_fout</v>
          </cell>
          <cell r="D179" t="str">
            <v>CT_CWODBDSCCS</v>
          </cell>
          <cell r="I179">
            <v>-0.24431666212289499</v>
          </cell>
          <cell r="J179">
            <v>-407.913124262699</v>
          </cell>
        </row>
        <row r="180">
          <cell r="B180" t="str">
            <v>CO2</v>
          </cell>
          <cell r="C180" t="str">
            <v>VAR_fout</v>
          </cell>
          <cell r="D180" t="str">
            <v>D-EWST</v>
          </cell>
          <cell r="E180">
            <v>2236.6419731831802</v>
          </cell>
          <cell r="F180">
            <v>2235.4033046182599</v>
          </cell>
          <cell r="G180">
            <v>2268.7820748859099</v>
          </cell>
          <cell r="H180">
            <v>2265.8213292877399</v>
          </cell>
          <cell r="I180">
            <v>2266.0988975351102</v>
          </cell>
          <cell r="J180">
            <v>2317.3905895653102</v>
          </cell>
        </row>
        <row r="181">
          <cell r="B181" t="str">
            <v>CO2</v>
          </cell>
          <cell r="C181" t="str">
            <v>VAR_comnet</v>
          </cell>
          <cell r="D181" t="str">
            <v>-</v>
          </cell>
          <cell r="E181">
            <v>44327.854544495996</v>
          </cell>
          <cell r="F181">
            <v>41753.065884576899</v>
          </cell>
          <cell r="G181">
            <v>37706.365567413799</v>
          </cell>
          <cell r="H181">
            <v>25184.692133961598</v>
          </cell>
          <cell r="I181">
            <v>13970.924163924399</v>
          </cell>
          <cell r="J181">
            <v>-1.20622180028304E-4</v>
          </cell>
        </row>
        <row r="182">
          <cell r="B182" t="str">
            <v>CO2</v>
          </cell>
          <cell r="C182" t="str">
            <v>EQ_combalM</v>
          </cell>
          <cell r="D182" t="str">
            <v>-</v>
          </cell>
          <cell r="H182">
            <v>2.8452649378742802E-6</v>
          </cell>
          <cell r="I182">
            <v>-0.169493220249959</v>
          </cell>
          <cell r="J182">
            <v>-1.4476584935374499</v>
          </cell>
        </row>
        <row r="183">
          <cell r="B183" t="str">
            <v>CO2_X</v>
          </cell>
          <cell r="C183" t="str">
            <v>VAR_fout</v>
          </cell>
          <cell r="D183" t="str">
            <v>D-CO2_O</v>
          </cell>
          <cell r="J183">
            <v>6405.3245547562983</v>
          </cell>
        </row>
        <row r="184">
          <cell r="B184" t="str">
            <v>CO2_X</v>
          </cell>
          <cell r="C184" t="str">
            <v>VAR_fin</v>
          </cell>
          <cell r="D184" t="str">
            <v>CO2EXP</v>
          </cell>
          <cell r="J184">
            <v>6405.3245547562983</v>
          </cell>
        </row>
        <row r="185">
          <cell r="B185" t="str">
            <v>CO2_X</v>
          </cell>
          <cell r="C185" t="str">
            <v>EQ_combalM</v>
          </cell>
          <cell r="D185" t="str">
            <v>-</v>
          </cell>
          <cell r="I185">
            <v>-1327.0740199023303</v>
          </cell>
          <cell r="J185">
            <v>-132.92962285789483</v>
          </cell>
        </row>
        <row r="186">
          <cell r="B186" t="str">
            <v>CO2_SECTOR</v>
          </cell>
          <cell r="C186" t="str">
            <v>VAR_fout</v>
          </cell>
          <cell r="D186" t="str">
            <v>CO2_IND</v>
          </cell>
          <cell r="E186">
            <v>6501.2907703857854</v>
          </cell>
          <cell r="F186">
            <v>6017.1485092209405</v>
          </cell>
          <cell r="G186">
            <v>5476.5496696378159</v>
          </cell>
          <cell r="H186">
            <v>4200.8483845729324</v>
          </cell>
          <cell r="I186">
            <v>3561.9820540671562</v>
          </cell>
          <cell r="J186">
            <v>3087.089068096946</v>
          </cell>
        </row>
        <row r="187">
          <cell r="B187" t="str">
            <v>CO2_SECTOR</v>
          </cell>
          <cell r="C187" t="str">
            <v>VAR_fout</v>
          </cell>
          <cell r="D187" t="str">
            <v>CO2_RES</v>
          </cell>
          <cell r="E187">
            <v>7197.5658582995911</v>
          </cell>
          <cell r="F187">
            <v>6551.091363315838</v>
          </cell>
          <cell r="G187">
            <v>6077.9723482413356</v>
          </cell>
          <cell r="H187">
            <v>3206.7407570758005</v>
          </cell>
          <cell r="I187">
            <v>1198.1526367460301</v>
          </cell>
          <cell r="J187">
            <v>722.89389763113297</v>
          </cell>
        </row>
        <row r="188">
          <cell r="B188" t="str">
            <v>CO2_SECTOR</v>
          </cell>
          <cell r="C188" t="str">
            <v>VAR_fout</v>
          </cell>
          <cell r="D188" t="str">
            <v>CO2_TRA</v>
          </cell>
          <cell r="E188">
            <v>14767.607310171779</v>
          </cell>
          <cell r="F188">
            <v>14094.609008333415</v>
          </cell>
          <cell r="G188">
            <v>11866.779144590473</v>
          </cell>
          <cell r="H188">
            <v>5049.0331167608228</v>
          </cell>
          <cell r="I188">
            <v>4025.2488478412297</v>
          </cell>
          <cell r="J188">
            <v>560.55493489956791</v>
          </cell>
        </row>
        <row r="189">
          <cell r="B189" t="str">
            <v>CO2_SECTOR</v>
          </cell>
          <cell r="C189" t="str">
            <v>VAR_fout</v>
          </cell>
          <cell r="D189" t="str">
            <v>CO2_ELC</v>
          </cell>
          <cell r="E189">
            <v>2592.7101881488284</v>
          </cell>
          <cell r="F189">
            <v>2325.5852310582959</v>
          </cell>
          <cell r="G189">
            <v>2339.5641049166675</v>
          </cell>
          <cell r="H189">
            <v>2271.781782713751</v>
          </cell>
          <cell r="I189">
            <v>2294.4886731326555</v>
          </cell>
          <cell r="J189">
            <v>2317.4091986732565</v>
          </cell>
        </row>
        <row r="190">
          <cell r="B190" t="str">
            <v>CO2_SECTOR</v>
          </cell>
          <cell r="C190" t="str">
            <v>VAR_fout</v>
          </cell>
          <cell r="D190" t="str">
            <v>CO2_SER</v>
          </cell>
          <cell r="E190">
            <v>3798.9055847296827</v>
          </cell>
          <cell r="F190">
            <v>3595.9300588515175</v>
          </cell>
          <cell r="G190">
            <v>3077.7134546810944</v>
          </cell>
          <cell r="H190">
            <v>1729.0136040780276</v>
          </cell>
          <cell r="I190">
            <v>1002.9387716137729</v>
          </cell>
          <cell r="J190">
            <v>280.57410012931206</v>
          </cell>
        </row>
        <row r="191">
          <cell r="B191" t="str">
            <v>CO2_SECTOR</v>
          </cell>
          <cell r="C191" t="str">
            <v>VAR_fout</v>
          </cell>
          <cell r="D191" t="str">
            <v>CO2_ELCCCS</v>
          </cell>
          <cell r="E191">
            <v>2592.7101881488284</v>
          </cell>
          <cell r="F191">
            <v>2325.5852310582959</v>
          </cell>
          <cell r="G191">
            <v>2339.5641049166675</v>
          </cell>
          <cell r="H191">
            <v>2271.781782713751</v>
          </cell>
          <cell r="I191">
            <v>2083.3359827261997</v>
          </cell>
          <cell r="J191">
            <v>-506.87371965918516</v>
          </cell>
        </row>
        <row r="192">
          <cell r="B192" t="str">
            <v>CO2_SECTOR</v>
          </cell>
          <cell r="C192" t="str">
            <v>VAR_fout</v>
          </cell>
          <cell r="D192" t="str">
            <v>CO2_H2CCS</v>
          </cell>
          <cell r="I192">
            <v>-0.64533253949942071</v>
          </cell>
          <cell r="J192">
            <v>-1381.9253740536897</v>
          </cell>
        </row>
        <row r="193">
          <cell r="B193" t="str">
            <v>CO2_SECTOR</v>
          </cell>
          <cell r="C193" t="str">
            <v>VAR_fout</v>
          </cell>
          <cell r="D193" t="str">
            <v>CO2_INDCCS</v>
          </cell>
          <cell r="E193">
            <v>6501.2907703857854</v>
          </cell>
          <cell r="F193">
            <v>6017.1485092209405</v>
          </cell>
          <cell r="G193">
            <v>5476.5496696378159</v>
          </cell>
          <cell r="H193">
            <v>4200.8258668579811</v>
          </cell>
          <cell r="I193">
            <v>2891.7275782841957</v>
          </cell>
          <cell r="J193">
            <v>325.16231433086261</v>
          </cell>
        </row>
        <row r="194">
          <cell r="B194" t="str">
            <v>CO2_SECTOR</v>
          </cell>
          <cell r="C194" t="str">
            <v>VAR_comnet</v>
          </cell>
          <cell r="D194" t="str">
            <v>-</v>
          </cell>
          <cell r="E194">
            <v>43952.080670270305</v>
          </cell>
          <cell r="F194">
            <v>40927.097911059231</v>
          </cell>
          <cell r="G194">
            <v>36654.692496621858</v>
          </cell>
          <cell r="H194">
            <v>22930.025294773084</v>
          </cell>
          <cell r="I194">
            <v>17057.229211871731</v>
          </cell>
          <cell r="J194">
            <v>5404.8844200482063</v>
          </cell>
        </row>
        <row r="195">
          <cell r="B195" t="str">
            <v>CO2SC</v>
          </cell>
          <cell r="C195" t="str">
            <v>VAR_fout</v>
          </cell>
          <cell r="D195" t="str">
            <v>CO2S1</v>
          </cell>
          <cell r="E195">
            <v>6307.1990227535098</v>
          </cell>
          <cell r="F195">
            <v>6307.1990227535098</v>
          </cell>
          <cell r="G195">
            <v>6307.1990227535098</v>
          </cell>
          <cell r="H195">
            <v>6307.1990227535098</v>
          </cell>
          <cell r="I195">
            <v>6307.1990227535098</v>
          </cell>
          <cell r="J195">
            <v>6307.1990227535098</v>
          </cell>
        </row>
        <row r="196">
          <cell r="B196" t="str">
            <v>CO2SC</v>
          </cell>
          <cell r="C196" t="str">
            <v>VAR_fout</v>
          </cell>
          <cell r="D196" t="str">
            <v>CO2S2</v>
          </cell>
          <cell r="J196">
            <v>98.126093592260702</v>
          </cell>
        </row>
        <row r="197">
          <cell r="B197" t="str">
            <v>CO2SC</v>
          </cell>
          <cell r="C197" t="str">
            <v>VAR_fin</v>
          </cell>
          <cell r="D197" t="str">
            <v>CO2EXP</v>
          </cell>
          <cell r="J197">
            <v>6405.3245547562901</v>
          </cell>
        </row>
        <row r="198">
          <cell r="B198" t="str">
            <v>CO2SC</v>
          </cell>
          <cell r="C198" t="str">
            <v>EQ_combalM</v>
          </cell>
          <cell r="D198" t="str">
            <v>-</v>
          </cell>
          <cell r="J198">
            <v>0.49662717248070298</v>
          </cell>
        </row>
        <row r="199">
          <cell r="B199" t="str">
            <v>CO2P</v>
          </cell>
          <cell r="C199" t="str">
            <v>VAR_fout</v>
          </cell>
          <cell r="D199" t="str">
            <v>ITOT-PROCESSCO2</v>
          </cell>
          <cell r="E199">
            <v>2089.34680048464</v>
          </cell>
          <cell r="F199">
            <v>2111.0131698740802</v>
          </cell>
          <cell r="G199">
            <v>2102.26947106126</v>
          </cell>
          <cell r="H199">
            <v>2093.6579792587145</v>
          </cell>
          <cell r="I199">
            <v>2077.4577516727099</v>
          </cell>
          <cell r="J199">
            <v>2063.7580725596131</v>
          </cell>
        </row>
        <row r="200">
          <cell r="B200" t="str">
            <v>CO2P</v>
          </cell>
          <cell r="C200" t="str">
            <v>VAR_comnet</v>
          </cell>
          <cell r="D200" t="str">
            <v>-</v>
          </cell>
          <cell r="E200">
            <v>2089.34680048464</v>
          </cell>
          <cell r="F200">
            <v>2111.0131698740802</v>
          </cell>
          <cell r="G200">
            <v>2102.26947106126</v>
          </cell>
          <cell r="H200">
            <v>2093.6579792587145</v>
          </cell>
          <cell r="I200">
            <v>2077.4577516727099</v>
          </cell>
          <cell r="J200">
            <v>2063.7580725596131</v>
          </cell>
        </row>
        <row r="201">
          <cell r="B201" t="str">
            <v>CO2_E</v>
          </cell>
          <cell r="C201" t="str">
            <v>VAR_fout</v>
          </cell>
          <cell r="D201" t="str">
            <v>EWSTINCCS</v>
          </cell>
          <cell r="I201">
            <v>105.162947688711</v>
          </cell>
          <cell r="J201">
            <v>1207.99971041092</v>
          </cell>
        </row>
        <row r="202">
          <cell r="B202" t="str">
            <v>CO2_E</v>
          </cell>
          <cell r="C202" t="str">
            <v>VAR_fout</v>
          </cell>
          <cell r="D202" t="str">
            <v>ENGA-CCS</v>
          </cell>
          <cell r="I202">
            <v>1.9979257122308001</v>
          </cell>
          <cell r="J202">
            <v>425.06005937933702</v>
          </cell>
        </row>
        <row r="203">
          <cell r="B203" t="str">
            <v>CO2_E</v>
          </cell>
          <cell r="C203" t="str">
            <v>VAR_fout</v>
          </cell>
          <cell r="D203" t="str">
            <v>CHPWSTCCS</v>
          </cell>
          <cell r="I203">
            <v>122.03798809678599</v>
          </cell>
          <cell r="J203">
            <v>1223.1621936358099</v>
          </cell>
        </row>
        <row r="204">
          <cell r="B204" t="str">
            <v>CO2_E</v>
          </cell>
          <cell r="C204" t="str">
            <v>VAR_fout</v>
          </cell>
          <cell r="D204" t="str">
            <v>HPLNGA</v>
          </cell>
          <cell r="E204">
            <v>114.385927256798</v>
          </cell>
          <cell r="F204">
            <v>72.762542723219198</v>
          </cell>
          <cell r="G204">
            <v>73.767889651749101</v>
          </cell>
          <cell r="H204">
            <v>1.15801706774031E-3</v>
          </cell>
          <cell r="I204">
            <v>4.6669312507261501E-2</v>
          </cell>
          <cell r="J204">
            <v>5.00040157516582E-2</v>
          </cell>
        </row>
        <row r="205">
          <cell r="B205" t="str">
            <v>CO2_E</v>
          </cell>
          <cell r="C205" t="str">
            <v>VAR_fout</v>
          </cell>
          <cell r="D205" t="str">
            <v>CHPWST</v>
          </cell>
          <cell r="E205">
            <v>2783.98978700722</v>
          </cell>
          <cell r="F205">
            <v>2574.9248123120001</v>
          </cell>
          <cell r="G205">
            <v>2613.3727822379801</v>
          </cell>
          <cell r="H205">
            <v>2584.4870348822001</v>
          </cell>
          <cell r="I205">
            <v>2209.01140594863</v>
          </cell>
          <cell r="J205">
            <v>995.53845655296595</v>
          </cell>
        </row>
        <row r="206">
          <cell r="B206" t="str">
            <v>CO2_E</v>
          </cell>
          <cell r="C206" t="str">
            <v>VAR_fout</v>
          </cell>
          <cell r="D206" t="str">
            <v>CHPNGA</v>
          </cell>
          <cell r="E206">
            <v>217.525174774867</v>
          </cell>
          <cell r="F206">
            <v>0.23311471683059701</v>
          </cell>
          <cell r="G206">
            <v>2.7659991140890101</v>
          </cell>
          <cell r="H206">
            <v>3.3513914671343702E-2</v>
          </cell>
          <cell r="I206">
            <v>0.88500671840503597</v>
          </cell>
          <cell r="J206">
            <v>0.659295165545012</v>
          </cell>
        </row>
        <row r="207">
          <cell r="B207" t="str">
            <v>CO2_E</v>
          </cell>
          <cell r="C207" t="str">
            <v>VAR_fout</v>
          </cell>
          <cell r="D207" t="str">
            <v>EWSTINC</v>
          </cell>
          <cell r="E207">
            <v>1689.2941593591399</v>
          </cell>
          <cell r="F207">
            <v>1895.88392866298</v>
          </cell>
          <cell r="G207">
            <v>1924.1974998195501</v>
          </cell>
          <cell r="H207">
            <v>1947.1557151110701</v>
          </cell>
          <cell r="I207">
            <v>2096.0119665279699</v>
          </cell>
          <cell r="J207">
            <v>1208.0856699584101</v>
          </cell>
        </row>
        <row r="208">
          <cell r="B208" t="str">
            <v>CO2_E</v>
          </cell>
          <cell r="C208" t="str">
            <v>VAR_fout</v>
          </cell>
          <cell r="D208" t="str">
            <v>ENGA-GTCC</v>
          </cell>
          <cell r="I208">
            <v>26.2515232472802</v>
          </cell>
          <cell r="J208">
            <v>1.7380449170032299</v>
          </cell>
        </row>
        <row r="209">
          <cell r="B209" t="str">
            <v>CO2_E</v>
          </cell>
          <cell r="C209" t="str">
            <v>VAR_fout</v>
          </cell>
          <cell r="D209" t="str">
            <v>HPLOIL</v>
          </cell>
          <cell r="E209">
            <v>15.879067815104399</v>
          </cell>
          <cell r="F209">
            <v>16.0268831055009</v>
          </cell>
          <cell r="G209">
            <v>4.0028785092239003</v>
          </cell>
          <cell r="H209">
            <v>3.8505763478964998</v>
          </cell>
          <cell r="I209">
            <v>3.4265609789574103E-2</v>
          </cell>
          <cell r="J209">
            <v>5.0413872139694002E-4</v>
          </cell>
        </row>
        <row r="210">
          <cell r="B210" t="str">
            <v>CO2_E</v>
          </cell>
          <cell r="C210" t="str">
            <v>VAR_fout</v>
          </cell>
          <cell r="D210" t="str">
            <v>CHPGFC</v>
          </cell>
          <cell r="I210">
            <v>1.25356758590911</v>
          </cell>
          <cell r="J210">
            <v>1.3379598119612299</v>
          </cell>
        </row>
        <row r="211">
          <cell r="B211" t="str">
            <v>CO2_E</v>
          </cell>
          <cell r="C211" t="str">
            <v>VAR_fout</v>
          </cell>
          <cell r="D211" t="str">
            <v>EOIL-ENG</v>
          </cell>
          <cell r="E211">
            <v>13.5085115024813</v>
          </cell>
          <cell r="F211">
            <v>0.397867506545594</v>
          </cell>
          <cell r="G211">
            <v>2.4573042079350298</v>
          </cell>
          <cell r="H211">
            <v>0.33529748253043001</v>
          </cell>
          <cell r="I211">
            <v>0.62085661520963698</v>
          </cell>
          <cell r="J211">
            <v>9.3741815712314706E-3</v>
          </cell>
        </row>
        <row r="212">
          <cell r="B212" t="str">
            <v>CO2_E</v>
          </cell>
          <cell r="C212" t="str">
            <v>VAR_fout</v>
          </cell>
          <cell r="D212" t="str">
            <v>ENGA-GTOC</v>
          </cell>
          <cell r="H212">
            <v>2.1832060682909001E-2</v>
          </cell>
          <cell r="I212">
            <v>14.8374071334554</v>
          </cell>
          <cell r="J212">
            <v>3.7459493523560301</v>
          </cell>
        </row>
        <row r="213">
          <cell r="B213" t="str">
            <v>CO2_E</v>
          </cell>
          <cell r="C213" t="str">
            <v>VAR_fout</v>
          </cell>
          <cell r="D213" t="str">
            <v>CHPOIL</v>
          </cell>
          <cell r="E213">
            <v>5.8549879327824002</v>
          </cell>
          <cell r="F213">
            <v>0.43245318516079401</v>
          </cell>
          <cell r="G213">
            <v>2.5371006132934899</v>
          </cell>
          <cell r="H213">
            <v>1.61585059393532</v>
          </cell>
          <cell r="I213">
            <v>0.55401022745853601</v>
          </cell>
          <cell r="J213">
            <v>7.5361942919675903E-3</v>
          </cell>
        </row>
        <row r="214">
          <cell r="B214" t="str">
            <v>CO2_E</v>
          </cell>
          <cell r="C214" t="str">
            <v>VAR_comnet</v>
          </cell>
          <cell r="D214" t="str">
            <v>-</v>
          </cell>
          <cell r="E214">
            <v>4840.4376156484004</v>
          </cell>
          <cell r="F214">
            <v>4560.6616022122298</v>
          </cell>
          <cell r="G214">
            <v>4623.1014541538298</v>
          </cell>
          <cell r="H214">
            <v>4537.5009784100603</v>
          </cell>
          <cell r="I214">
            <v>4578.7055404243401</v>
          </cell>
          <cell r="J214">
            <v>5067.39475771465</v>
          </cell>
        </row>
        <row r="215">
          <cell r="B215" t="str">
            <v>CO2_I</v>
          </cell>
          <cell r="C215" t="str">
            <v>VAR_fout</v>
          </cell>
          <cell r="D215" t="str">
            <v>ITOT-CHPNGA</v>
          </cell>
          <cell r="E215">
            <v>112.873223206821</v>
          </cell>
          <cell r="F215">
            <v>14.6344700000893</v>
          </cell>
          <cell r="G215">
            <v>8.5559140739526391</v>
          </cell>
          <cell r="H215">
            <v>3.64416130023938</v>
          </cell>
          <cell r="I215">
            <v>4.5377365559646101</v>
          </cell>
          <cell r="J215">
            <v>5.9506798732403299</v>
          </cell>
        </row>
        <row r="216">
          <cell r="B216" t="str">
            <v>CO2_I</v>
          </cell>
          <cell r="C216" t="str">
            <v>VAR_fout</v>
          </cell>
          <cell r="D216" t="str">
            <v>ITOT-SWHNGABR</v>
          </cell>
          <cell r="E216">
            <v>2005.1545916166899</v>
          </cell>
          <cell r="F216">
            <v>1711.63202741947</v>
          </cell>
          <cell r="G216">
            <v>1731.94417692661</v>
          </cell>
          <cell r="H216">
            <v>685.57871827487099</v>
          </cell>
          <cell r="I216">
            <v>305.23964130644998</v>
          </cell>
          <cell r="J216">
            <v>157.23262744743201</v>
          </cell>
        </row>
        <row r="217">
          <cell r="B217" t="str">
            <v>CO2_I</v>
          </cell>
          <cell r="C217" t="str">
            <v>VAR_fout</v>
          </cell>
          <cell r="D217" t="str">
            <v>ITOT-CHPWSTCCS</v>
          </cell>
          <cell r="I217">
            <v>18.7316572663111</v>
          </cell>
          <cell r="J217">
            <v>985.54697048047797</v>
          </cell>
        </row>
        <row r="218">
          <cell r="B218" t="str">
            <v>CO2_I</v>
          </cell>
          <cell r="C218" t="str">
            <v>VAR_fout</v>
          </cell>
          <cell r="D218" t="str">
            <v>ITOT-SWHLFOBR</v>
          </cell>
          <cell r="E218">
            <v>655.77101918622304</v>
          </cell>
          <cell r="F218">
            <v>597.23384491159402</v>
          </cell>
          <cell r="G218">
            <v>584.68367707389302</v>
          </cell>
          <cell r="H218">
            <v>363.646949543331</v>
          </cell>
          <cell r="I218">
            <v>259.10288027278</v>
          </cell>
          <cell r="J218">
            <v>140.294534511861</v>
          </cell>
        </row>
        <row r="219">
          <cell r="B219" t="str">
            <v>CO2_I</v>
          </cell>
          <cell r="C219" t="str">
            <v>VAR_fout</v>
          </cell>
          <cell r="D219" t="str">
            <v>ITOT-CHPNGACCS</v>
          </cell>
          <cell r="I219">
            <v>1.20764473325807</v>
          </cell>
          <cell r="J219">
            <v>3.8551463718282499</v>
          </cell>
        </row>
        <row r="220">
          <cell r="B220" t="str">
            <v>CO2_I</v>
          </cell>
          <cell r="C220" t="str">
            <v>VAR_fout</v>
          </cell>
          <cell r="D220" t="str">
            <v>ITOT-CHPGFC</v>
          </cell>
          <cell r="I220">
            <v>28.132149061652001</v>
          </cell>
          <cell r="J220">
            <v>8.1733134054587406</v>
          </cell>
        </row>
        <row r="221">
          <cell r="B221" t="str">
            <v>CO2_I</v>
          </cell>
          <cell r="C221" t="str">
            <v>VAR_fout</v>
          </cell>
          <cell r="D221" t="str">
            <v>ITOT-SWHCOABR</v>
          </cell>
          <cell r="E221">
            <v>330.01317072986899</v>
          </cell>
          <cell r="F221">
            <v>321.17948001959502</v>
          </cell>
          <cell r="G221">
            <v>3.6482622381522001</v>
          </cell>
          <cell r="H221">
            <v>7.2716416434275596E-4</v>
          </cell>
          <cell r="I221">
            <v>5.2523212204916299E-2</v>
          </cell>
          <cell r="J221">
            <v>0.12663997927332099</v>
          </cell>
        </row>
        <row r="222">
          <cell r="B222" t="str">
            <v>CO2_I</v>
          </cell>
          <cell r="C222" t="str">
            <v>VAR_fout</v>
          </cell>
          <cell r="D222" t="str">
            <v>ITOT-CHPOIL</v>
          </cell>
          <cell r="E222">
            <v>25.853617078075601</v>
          </cell>
          <cell r="F222">
            <v>51.332781257475602</v>
          </cell>
          <cell r="G222">
            <v>2.7149039353545601</v>
          </cell>
          <cell r="H222">
            <v>5.2036244546604998E-3</v>
          </cell>
          <cell r="I222">
            <v>212.17408336039199</v>
          </cell>
          <cell r="J222">
            <v>48.221533785113003</v>
          </cell>
        </row>
        <row r="223">
          <cell r="B223" t="str">
            <v>CO2_I</v>
          </cell>
          <cell r="C223" t="str">
            <v>VAR_fout</v>
          </cell>
          <cell r="D223" t="str">
            <v>ITOT-SWHWSTBR</v>
          </cell>
          <cell r="E223">
            <v>723.65957544405501</v>
          </cell>
          <cell r="F223">
            <v>749.84873148149404</v>
          </cell>
          <cell r="G223">
            <v>520.456780077448</v>
          </cell>
          <cell r="H223">
            <v>531.28604992210398</v>
          </cell>
          <cell r="I223">
            <v>20.154987831020701</v>
          </cell>
          <cell r="J223">
            <v>0.342318056757836</v>
          </cell>
        </row>
        <row r="224">
          <cell r="B224" t="str">
            <v>CO2_I</v>
          </cell>
          <cell r="C224" t="str">
            <v>VAR_fout</v>
          </cell>
          <cell r="D224" t="str">
            <v>ITOT-SWHNGAHP</v>
          </cell>
          <cell r="G224">
            <v>0.911197887128261</v>
          </cell>
          <cell r="H224">
            <v>8.0803425546671897E-4</v>
          </cell>
          <cell r="I224">
            <v>0.36353974399726902</v>
          </cell>
          <cell r="J224">
            <v>1.25282918094791</v>
          </cell>
        </row>
        <row r="225">
          <cell r="B225" t="str">
            <v>CO2_I</v>
          </cell>
          <cell r="C225" t="str">
            <v>VAR_fout</v>
          </cell>
          <cell r="D225" t="str">
            <v>ITOT-CHPWST</v>
          </cell>
          <cell r="E225">
            <v>344.47143655173397</v>
          </cell>
          <cell r="F225">
            <v>344.64738780404298</v>
          </cell>
          <cell r="G225">
            <v>504.20378072900201</v>
          </cell>
          <cell r="H225">
            <v>514.68504779138902</v>
          </cell>
          <cell r="I225">
            <v>957.99648319782102</v>
          </cell>
          <cell r="J225">
            <v>0.75347489346194196</v>
          </cell>
        </row>
        <row r="226">
          <cell r="B226" t="str">
            <v>CO2_I</v>
          </cell>
          <cell r="C226" t="str">
            <v>VAR_fout</v>
          </cell>
          <cell r="D226" t="str">
            <v>ITOT-SWHHFOBR</v>
          </cell>
          <cell r="E226">
            <v>210.21094212651801</v>
          </cell>
          <cell r="F226">
            <v>97.467400843242601</v>
          </cell>
          <cell r="G226">
            <v>1.63776372899774</v>
          </cell>
          <cell r="H226">
            <v>5.6311131432134102E-4</v>
          </cell>
          <cell r="I226">
            <v>4.6943274714960001E-2</v>
          </cell>
        </row>
        <row r="227">
          <cell r="B227" t="str">
            <v>CO2_I</v>
          </cell>
          <cell r="C227" t="str">
            <v>VAR_comnet</v>
          </cell>
          <cell r="D227" t="str">
            <v>-</v>
          </cell>
          <cell r="E227">
            <v>4408.0075759399897</v>
          </cell>
          <cell r="F227">
            <v>3887.9761237369999</v>
          </cell>
          <cell r="G227">
            <v>3358.75645667054</v>
          </cell>
          <cell r="H227">
            <v>2098.84822876612</v>
          </cell>
          <cell r="I227">
            <v>1807.7402698165699</v>
          </cell>
          <cell r="J227">
            <v>1351.7500679858499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8.7205901249255505E-6</v>
          </cell>
          <cell r="I4">
            <v>1.41032228502766E-5</v>
          </cell>
          <cell r="J4">
            <v>7.1334254606440295E-4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2.8848760258061602E-4</v>
          </cell>
          <cell r="J5">
            <v>6.4526460400021201E-6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2.3845568300947299E-5</v>
          </cell>
          <cell r="I6">
            <v>6.5811330692024203E-5</v>
          </cell>
          <cell r="J6">
            <v>5.3358243511183404E-4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1.2239274772723E-5</v>
          </cell>
          <cell r="I7">
            <v>6.9249715835124903E-3</v>
          </cell>
          <cell r="J7">
            <v>5.1333039702003E-3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4.4381371977534001E-4</v>
          </cell>
          <cell r="F8">
            <v>5.64106496238062E-6</v>
          </cell>
          <cell r="G8">
            <v>7.6168698467990798E-6</v>
          </cell>
          <cell r="H8">
            <v>1.2127351712855399E-5</v>
          </cell>
          <cell r="I8">
            <v>4.1216180739912802E-5</v>
          </cell>
          <cell r="J8">
            <v>6.9526105567763405E-5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2.98928698976257</v>
          </cell>
          <cell r="J9">
            <v>6.9590715305451595E-4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4.1272892090903198E-3</v>
          </cell>
          <cell r="F10">
            <v>2.8521477095477598E-4</v>
          </cell>
          <cell r="G10">
            <v>3.1511986802057199E-5</v>
          </cell>
          <cell r="H10">
            <v>0.122092763999884</v>
          </cell>
          <cell r="I10">
            <v>2.02174845211457E-2</v>
          </cell>
          <cell r="J10">
            <v>0.20354424376364899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3.6851827544726598E-6</v>
          </cell>
          <cell r="F11">
            <v>3.9071179220046001E-6</v>
          </cell>
          <cell r="G11">
            <v>4.7125369570076304E-6</v>
          </cell>
          <cell r="H11">
            <v>5.8074478559020199E-6</v>
          </cell>
          <cell r="I11">
            <v>1.9517633125805698E-5</v>
          </cell>
          <cell r="J11">
            <v>3.7105170441752398E-3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1.4306750165235201E-2</v>
          </cell>
          <cell r="F12">
            <v>2.3369189407789799E-4</v>
          </cell>
          <cell r="G12">
            <v>3.90030767163813E-5</v>
          </cell>
          <cell r="H12">
            <v>0.162340130632493</v>
          </cell>
          <cell r="I12">
            <v>3.3260322911162202E-5</v>
          </cell>
          <cell r="J12">
            <v>0.26650854367231802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2.7473360573460699E-4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5.7166109070632203E-6</v>
          </cell>
          <cell r="F14">
            <v>2.1342110713444699E-6</v>
          </cell>
          <cell r="G14">
            <v>1.6922383035266E-6</v>
          </cell>
          <cell r="H14">
            <v>1.5187920603875601E-6</v>
          </cell>
          <cell r="I14">
            <v>3.4812144646533701E-6</v>
          </cell>
          <cell r="J14">
            <v>9.8355346901687005E-6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7.22505407485411E-5</v>
          </cell>
          <cell r="I15">
            <v>6.9002912840636796E-2</v>
          </cell>
          <cell r="J15">
            <v>0.13659175635850401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2.79829257974895E-5</v>
          </cell>
          <cell r="I16">
            <v>0.64181786666910601</v>
          </cell>
          <cell r="J16">
            <v>6.7422024827007401E-6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8.1059687154442704E-7</v>
          </cell>
          <cell r="I17">
            <v>0.19121263241356401</v>
          </cell>
          <cell r="J17">
            <v>0.34700782840064198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3.8323981593003703E-5</v>
          </cell>
          <cell r="F18">
            <v>1.8531777102258901E-6</v>
          </cell>
          <cell r="G18">
            <v>2.6713498114302501E-6</v>
          </cell>
          <cell r="H18">
            <v>3.7156778209067198E-6</v>
          </cell>
          <cell r="I18">
            <v>7.8870287776396502E-6</v>
          </cell>
          <cell r="J18">
            <v>2.19117166707295E-5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6.8338458260397805E-2</v>
          </cell>
          <cell r="F19">
            <v>9.4112363991715603E-2</v>
          </cell>
          <cell r="G19">
            <v>3.4669362516204402E-5</v>
          </cell>
          <cell r="H19">
            <v>2.86478277395395E-5</v>
          </cell>
          <cell r="I19">
            <v>0.117235522363535</v>
          </cell>
          <cell r="J19">
            <v>0.23231745369697299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6.5657137902178797E-6</v>
          </cell>
          <cell r="F20">
            <v>1.0501006443156601E-6</v>
          </cell>
          <cell r="G20">
            <v>1.4114145596767299E-6</v>
          </cell>
          <cell r="H20">
            <v>9.997048790651101E-7</v>
          </cell>
          <cell r="I20">
            <v>2.1403327039551798E-6</v>
          </cell>
          <cell r="J20">
            <v>4.1376627706933096E-6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1.00865547990599E-4</v>
          </cell>
          <cell r="J21">
            <v>3.80507512083128E-4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1.1757669409884699E-5</v>
          </cell>
          <cell r="F22">
            <v>5.5060331565614301E-3</v>
          </cell>
          <cell r="G22">
            <v>1.75000605862145E-5</v>
          </cell>
          <cell r="H22">
            <v>2.10029860197407E-2</v>
          </cell>
          <cell r="I22">
            <v>2.4423222162535401E-3</v>
          </cell>
          <cell r="J22">
            <v>1.73562366504546E-2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0.68482825238885603</v>
          </cell>
          <cell r="J23">
            <v>0.107967926173916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0.20867448568115701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3.2607077623981101E-4</v>
          </cell>
          <cell r="J25">
            <v>1.05548772615115E-3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6.8114242601126597E-6</v>
          </cell>
          <cell r="J26">
            <v>1.04439167125659E-3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1.26979598600505E-3</v>
          </cell>
          <cell r="F27">
            <v>2.7433344524220699E-5</v>
          </cell>
          <cell r="G27">
            <v>2.5087413960895699E-5</v>
          </cell>
          <cell r="H27">
            <v>2.69566929772694E-5</v>
          </cell>
          <cell r="I27">
            <v>0.16214847948722499</v>
          </cell>
          <cell r="J27">
            <v>1.2166689696699899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9.7906231431729799E-6</v>
          </cell>
          <cell r="F28">
            <v>3.34604388849609E-6</v>
          </cell>
          <cell r="G28">
            <v>3.5873665315934402E-6</v>
          </cell>
          <cell r="H28">
            <v>5.2185345097312899E-6</v>
          </cell>
          <cell r="I28">
            <v>5.6817320694617798E-6</v>
          </cell>
          <cell r="J28">
            <v>4.1157223307977997E-6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1.22084878290739E-4</v>
          </cell>
          <cell r="J29">
            <v>1.75172179702855E-6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0.159112283932862</v>
          </cell>
          <cell r="F30">
            <v>4.84290524791402E-2</v>
          </cell>
          <cell r="G30">
            <v>1.70084029328505E-5</v>
          </cell>
          <cell r="H30">
            <v>1.9237327326191599E-5</v>
          </cell>
          <cell r="I30">
            <v>1.81196653347429E-2</v>
          </cell>
          <cell r="J30">
            <v>1.9094548996909499E-2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4.16282402265852E-4</v>
          </cell>
          <cell r="I31">
            <v>6.8290403243524103E-2</v>
          </cell>
          <cell r="J31">
            <v>0.134869225235383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2.4625095479219499E-3</v>
          </cell>
          <cell r="F32">
            <v>8.9840043744994393E-6</v>
          </cell>
          <cell r="G32">
            <v>4.5653409556206302E-2</v>
          </cell>
          <cell r="H32">
            <v>0.10222823898521299</v>
          </cell>
          <cell r="I32">
            <v>8.6288489192774892E-6</v>
          </cell>
          <cell r="J32">
            <v>4.0625923970404302E-5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2.4113556727842999E-5</v>
          </cell>
          <cell r="F33">
            <v>5.7708884127632402E-6</v>
          </cell>
          <cell r="G33">
            <v>6.9289059224978597E-6</v>
          </cell>
          <cell r="H33">
            <v>9.4456791982806595E-6</v>
          </cell>
          <cell r="I33">
            <v>7.76991390375271E-5</v>
          </cell>
          <cell r="J33">
            <v>6.1596666800493795E-4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2.2489353831989801E-5</v>
          </cell>
          <cell r="I34">
            <v>0.34619427342842701</v>
          </cell>
          <cell r="J34">
            <v>0.52165571176741898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1.05379595898961E-2</v>
          </cell>
          <cell r="J35">
            <v>4.6783777112404397E-2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2.35135118882882E-4</v>
          </cell>
          <cell r="J36">
            <v>0.118143987823403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8.7205901249255505E-6</v>
          </cell>
          <cell r="I37">
            <v>2.6046496505333396E-5</v>
          </cell>
          <cell r="J37">
            <v>7.3171996733882507E-4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2.8848760258061602E-4</v>
          </cell>
          <cell r="J38">
            <v>2.9403273009726032E-4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2.3845568300947299E-5</v>
          </cell>
          <cell r="I39">
            <v>1.0380458417104354E-4</v>
          </cell>
          <cell r="J39">
            <v>6.1534324208141066E-4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1.2239274772723E-5</v>
          </cell>
          <cell r="I40">
            <v>6.9567375673374428E-3</v>
          </cell>
          <cell r="J40">
            <v>1.2068266279675536E-2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1.0279558082607554</v>
          </cell>
          <cell r="F41">
            <v>1.0279614493257179</v>
          </cell>
          <cell r="G41">
            <v>1.0279690661955645</v>
          </cell>
          <cell r="H41">
            <v>1.0279811935472773</v>
          </cell>
          <cell r="I41">
            <v>1.0280537086533106</v>
          </cell>
          <cell r="J41">
            <v>0.7252879215326582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2.98928698976257</v>
          </cell>
          <cell r="J42">
            <v>2.9899828969156301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0.21269334239545948</v>
          </cell>
          <cell r="F43">
            <v>0.2129675125143638</v>
          </cell>
          <cell r="G43">
            <v>0.21295577630500695</v>
          </cell>
          <cell r="H43">
            <v>0.26147168084889555</v>
          </cell>
          <cell r="I43">
            <v>0.28929374452061579</v>
          </cell>
          <cell r="J43">
            <v>0.37132591549420196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3.6851827544726598E-6</v>
          </cell>
          <cell r="F44">
            <v>7.5923006764772603E-6</v>
          </cell>
          <cell r="G44">
            <v>1.23048376334849E-5</v>
          </cell>
          <cell r="H44">
            <v>1.81122854893869E-5</v>
          </cell>
          <cell r="I44">
            <v>4.86253773508381E-5</v>
          </cell>
          <cell r="J44">
            <v>3.7591424215260801E-3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4.2320507931766935E-2</v>
          </cell>
          <cell r="F45">
            <v>4.2546561648524994E-2</v>
          </cell>
          <cell r="G45">
            <v>4.2575922178344737E-2</v>
          </cell>
          <cell r="H45">
            <v>0.20005787681686069</v>
          </cell>
          <cell r="I45">
            <v>0.1937973372267334</v>
          </cell>
          <cell r="J45">
            <v>0.33360541990074138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2.7473360573460699E-4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0.95962340969255111</v>
          </cell>
          <cell r="F47">
            <v>0.95962554390362242</v>
          </cell>
          <cell r="G47">
            <v>0.95962723614192591</v>
          </cell>
          <cell r="H47">
            <v>0.95962875493398636</v>
          </cell>
          <cell r="I47">
            <v>0.95963674722868209</v>
          </cell>
          <cell r="J47">
            <v>0.48128223911731627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7.22505407485411E-5</v>
          </cell>
          <cell r="I48">
            <v>6.9146927802725106E-2</v>
          </cell>
          <cell r="J48">
            <v>0.20567064315868899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2.79829257974895E-5</v>
          </cell>
          <cell r="I49">
            <v>0.64191637681681324</v>
          </cell>
          <cell r="J49">
            <v>0.11311837720526197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8.1059687154442704E-7</v>
          </cell>
          <cell r="I50">
            <v>0.19122097260660001</v>
          </cell>
          <cell r="J50">
            <v>0.53822880100724202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2.2350905256067333</v>
          </cell>
          <cell r="F51">
            <v>2.2350923787844432</v>
          </cell>
          <cell r="G51">
            <v>2.2350950501342548</v>
          </cell>
          <cell r="H51">
            <v>2.2350987658120758</v>
          </cell>
          <cell r="I51">
            <v>2.2351161673808693</v>
          </cell>
          <cell r="J51">
            <v>1.12097637996126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6.8338458260397805E-2</v>
          </cell>
          <cell r="F52">
            <v>0.16244746809293342</v>
          </cell>
          <cell r="G52">
            <v>0.16247137563248426</v>
          </cell>
          <cell r="H52">
            <v>0.16247169917463122</v>
          </cell>
          <cell r="I52">
            <v>0.19009675877107551</v>
          </cell>
          <cell r="J52">
            <v>0.34967450580434917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3.0972465731097105</v>
          </cell>
          <cell r="F53">
            <v>3.0972476232103547</v>
          </cell>
          <cell r="G53">
            <v>3.0972490346249142</v>
          </cell>
          <cell r="H53">
            <v>3.0972500343297935</v>
          </cell>
          <cell r="I53">
            <v>3.0972537827876838</v>
          </cell>
          <cell r="J53">
            <v>1.5533001610907544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1.00865547990599E-4</v>
          </cell>
          <cell r="J54">
            <v>4.808400060764209E-4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1.1757669409884699E-5</v>
          </cell>
          <cell r="F55">
            <v>5.5170771797175746E-3</v>
          </cell>
          <cell r="G55">
            <v>5.5311521453702585E-3</v>
          </cell>
          <cell r="H55">
            <v>2.6531655248803316E-2</v>
          </cell>
          <cell r="I55">
            <v>2.6541498553261673E-2</v>
          </cell>
          <cell r="J55">
            <v>2.539505573979834E-2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0.68482825238885603</v>
          </cell>
          <cell r="J56">
            <v>0.34253416266872821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0.20867448568115701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3.2607077623981101E-4</v>
          </cell>
          <cell r="J58">
            <v>1.38155850239096E-3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6.8114242601126597E-6</v>
          </cell>
          <cell r="J59">
            <v>1.0497596628773951E-3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1.26979598600505E-3</v>
          </cell>
          <cell r="F60">
            <v>1.2942602853689795E-3</v>
          </cell>
          <cell r="G60">
            <v>1.3122014583378961E-3</v>
          </cell>
          <cell r="H60">
            <v>1.3263526541862206E-3</v>
          </cell>
          <cell r="I60">
            <v>0.32675770042968505</v>
          </cell>
          <cell r="J60">
            <v>1.509613727352437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3.4626588712918266E-2</v>
          </cell>
          <cell r="F61">
            <v>3.4378904949749767E-2</v>
          </cell>
          <cell r="G61">
            <v>4.194733849792763E-3</v>
          </cell>
          <cell r="H61">
            <v>8.032566976839961E-4</v>
          </cell>
          <cell r="I61">
            <v>0.1455573780522281</v>
          </cell>
          <cell r="J61">
            <v>3.7770300710499027E-4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1.22084878290739E-4</v>
          </cell>
          <cell r="J62">
            <v>1.2383660008776799E-4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0.36140831878476853</v>
          </cell>
          <cell r="F63">
            <v>0.40983088854493827</v>
          </cell>
          <cell r="G63">
            <v>6.5117065972721988E-2</v>
          </cell>
          <cell r="H63">
            <v>6.0489095825963013E-2</v>
          </cell>
          <cell r="I63">
            <v>4.7365345232833506E-2</v>
          </cell>
          <cell r="J63">
            <v>3.7286638196046731E-2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4.16282402265852E-4</v>
          </cell>
          <cell r="I64">
            <v>6.9168240186588598E-2</v>
          </cell>
          <cell r="J64">
            <v>0.20403746542197199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4.4991310428131436E-3</v>
          </cell>
          <cell r="F65">
            <v>4.5047429149686615E-3</v>
          </cell>
          <cell r="G65">
            <v>5.0155698591352646E-2</v>
          </cell>
          <cell r="H65">
            <v>0.15126275371439424</v>
          </cell>
          <cell r="I65">
            <v>4.419185406029924E-4</v>
          </cell>
          <cell r="J65">
            <v>1.5721393841510237E-4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1.9845074838228278</v>
          </cell>
          <cell r="F66">
            <v>1.9845132547112405</v>
          </cell>
          <cell r="G66">
            <v>1.9845201836171631</v>
          </cell>
          <cell r="H66">
            <v>1.9845296292963615</v>
          </cell>
          <cell r="I66">
            <v>1.9846566384824988</v>
          </cell>
          <cell r="J66">
            <v>1.0962486723303237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2.2489353831989801E-5</v>
          </cell>
          <cell r="I67">
            <v>0.34625055541677846</v>
          </cell>
          <cell r="J67">
            <v>0.86785786677034127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1.05379595898961E-2</v>
          </cell>
          <cell r="J68">
            <v>5.4387741834983454E-2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2.35135118882882E-4</v>
          </cell>
          <cell r="J69">
            <v>0.118379122942286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3.2826792968010041</v>
          </cell>
          <cell r="J70">
            <v>2.7035128549876837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769.46636236774452</v>
          </cell>
          <cell r="J71">
            <v>76.037869228621886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109.02027845541247</v>
          </cell>
          <cell r="J72">
            <v>484.33587253165643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0.11258829254868478</v>
          </cell>
          <cell r="F73">
            <v>0.112743362046816</v>
          </cell>
          <cell r="G73">
            <v>0.10855958347959835</v>
          </cell>
          <cell r="H73">
            <v>0.13842301723050202</v>
          </cell>
          <cell r="I73">
            <v>0.15315534368501188</v>
          </cell>
          <cell r="J73">
            <v>0.19655117435154276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5.4673772781564205E-3</v>
          </cell>
          <cell r="G74">
            <v>2.5081947092110192E-4</v>
          </cell>
          <cell r="H74">
            <v>2.633227544312958E-2</v>
          </cell>
          <cell r="I74">
            <v>2.6349185341946944E-2</v>
          </cell>
          <cell r="J74">
            <v>2.5193546182523591E-2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2.1937441510232989E-4</v>
          </cell>
          <cell r="J75">
            <v>1.3735738624010001E-3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0.23891125408244224</v>
          </cell>
          <cell r="F76">
            <v>5.6424943600802906E-2</v>
          </cell>
          <cell r="G76">
            <v>2.0531701565223046</v>
          </cell>
          <cell r="H76">
            <v>5.8546687752018896</v>
          </cell>
          <cell r="I76">
            <v>22.581704951670073</v>
          </cell>
          <cell r="J76">
            <v>23.234252232655223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5.3133466005822735E-2</v>
          </cell>
          <cell r="J77">
            <v>0.53452301395877244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970.56778881904017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0.34321303222940419</v>
          </cell>
          <cell r="J79">
            <v>2.1829338279393418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0.72219072204782631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7.8410582160137552E-3</v>
          </cell>
          <cell r="J81">
            <v>7.1002966091928193E-3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1.3381608844521779E-2</v>
          </cell>
          <cell r="J82">
            <v>0.38893311805301617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0.24431666212289513</v>
          </cell>
          <cell r="J83">
            <v>407.913124262699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1.3842229920916225E-3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9.9273168820822495E-3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9.6793763508283579</v>
          </cell>
          <cell r="F86">
            <v>9.6927078971105445</v>
          </cell>
          <cell r="G86">
            <v>9.3330224768603163</v>
          </cell>
          <cell r="H86">
            <v>11.900424538473718</v>
          </cell>
          <cell r="I86">
            <v>13.177229368626371</v>
          </cell>
          <cell r="J86">
            <v>16.927198470372861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8.7871476395661591E-3</v>
          </cell>
          <cell r="J87">
            <v>9.6571999568023422E-3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9.6793763508283579</v>
          </cell>
          <cell r="F88">
            <v>9.6927078971105445</v>
          </cell>
          <cell r="G88">
            <v>9.3330224768603163</v>
          </cell>
          <cell r="H88">
            <v>11.900424538473718</v>
          </cell>
          <cell r="I88">
            <v>13.16698368994858</v>
          </cell>
          <cell r="J88">
            <v>16.897785246394047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1.9743410376717738E-3</v>
          </cell>
          <cell r="J89">
            <v>1.9861883693474025E-2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5.8203533631223513E-2</v>
          </cell>
          <cell r="J90">
            <v>4.7934625088434039E-2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1.7904221099674836E-2</v>
          </cell>
          <cell r="I91">
            <v>2.2046020484598937E-2</v>
          </cell>
          <cell r="J91">
            <v>3.4706823042471063E-3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5.6777847275788025</v>
          </cell>
          <cell r="F92">
            <v>1.2950475608279919</v>
          </cell>
          <cell r="G92">
            <v>1.0928684500667356</v>
          </cell>
          <cell r="H92">
            <v>1.1142280429154974E-3</v>
          </cell>
          <cell r="I92">
            <v>0.4816705728529691</v>
          </cell>
          <cell r="J92">
            <v>2.6828508896359766E-5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0.2705249895817135</v>
          </cell>
          <cell r="F93">
            <v>0.17430309246303763</v>
          </cell>
          <cell r="G93">
            <v>0.2238674537672887</v>
          </cell>
          <cell r="H93">
            <v>7.703968122245327E-3</v>
          </cell>
          <cell r="I93">
            <v>7.5217758816678746E-3</v>
          </cell>
          <cell r="J93">
            <v>3.2126879791140876E-3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27.147442626943267</v>
          </cell>
          <cell r="F94">
            <v>26.755467621614581</v>
          </cell>
          <cell r="G94">
            <v>22.169020145692201</v>
          </cell>
          <cell r="H94">
            <v>14.421376731654766</v>
          </cell>
          <cell r="I94">
            <v>14.726723914299647</v>
          </cell>
          <cell r="J94">
            <v>4.9745592865577013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47.407885605246499</v>
          </cell>
          <cell r="F95">
            <v>47.788852747317279</v>
          </cell>
          <cell r="G95">
            <v>44.797064328258479</v>
          </cell>
          <cell r="H95">
            <v>29.168035567159247</v>
          </cell>
          <cell r="I95">
            <v>17.412812642405061</v>
          </cell>
          <cell r="J95">
            <v>12.817108826222579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37.354903039351463</v>
          </cell>
          <cell r="F96">
            <v>30.705235138173627</v>
          </cell>
          <cell r="G96">
            <v>30.974496231129091</v>
          </cell>
          <cell r="H96">
            <v>12.259203754689185</v>
          </cell>
          <cell r="I96">
            <v>3.5489257437350537</v>
          </cell>
          <cell r="J96">
            <v>0.6491221720948569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320.227058635444</v>
          </cell>
          <cell r="F97">
            <v>73.040682430698695</v>
          </cell>
          <cell r="G97">
            <v>61.637780583763899</v>
          </cell>
          <cell r="H97">
            <v>6.2842461620434095E-2</v>
          </cell>
          <cell r="I97">
            <v>27.166220308907501</v>
          </cell>
          <cell r="J97">
            <v>1.51312790175469E-3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693.20191611779796</v>
          </cell>
          <cell r="F98">
            <v>659.57527017590303</v>
          </cell>
          <cell r="G98">
            <v>597.36194934803905</v>
          </cell>
          <cell r="H98">
            <v>369.813180616593</v>
          </cell>
          <cell r="I98">
            <v>287.566367649661</v>
          </cell>
          <cell r="J98">
            <v>7.9404661892663007E-3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15.2576094124087</v>
          </cell>
          <cell r="F99">
            <v>9.8306944149153406</v>
          </cell>
          <cell r="G99">
            <v>12.6261243924751</v>
          </cell>
          <cell r="H99">
            <v>0.43450380209463602</v>
          </cell>
          <cell r="I99">
            <v>0.42422815972606798</v>
          </cell>
          <cell r="J99">
            <v>0.181195602022035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1531.1157641596001</v>
          </cell>
          <cell r="F100">
            <v>1509.0083738590599</v>
          </cell>
          <cell r="G100">
            <v>1250.3327362170401</v>
          </cell>
          <cell r="H100">
            <v>813.36564766532797</v>
          </cell>
          <cell r="I100">
            <v>830.58722876649904</v>
          </cell>
          <cell r="J100">
            <v>280.56514376185498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2673.8047481358999</v>
          </cell>
          <cell r="F101">
            <v>2695.2912949486899</v>
          </cell>
          <cell r="G101">
            <v>2526.55442811378</v>
          </cell>
          <cell r="H101">
            <v>1645.07720598778</v>
          </cell>
          <cell r="I101">
            <v>982.08263303164495</v>
          </cell>
          <cell r="J101">
            <v>722.88493779895396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-5.3133466005822701E-2</v>
          </cell>
          <cell r="J102">
            <v>-0.534523013958772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2267.7898205700799</v>
          </cell>
          <cell r="F103">
            <v>2086.9216849924601</v>
          </cell>
          <cell r="G103">
            <v>1827.38071846405</v>
          </cell>
          <cell r="H103">
            <v>915.64795641270098</v>
          </cell>
          <cell r="I103">
            <v>172.35154284727301</v>
          </cell>
          <cell r="J103">
            <v>8.9563674578452303E-3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4514.4906506564103</v>
          </cell>
          <cell r="F104">
            <v>3846.5303550070598</v>
          </cell>
          <cell r="G104">
            <v>3549.0163072932201</v>
          </cell>
          <cell r="H104">
            <v>1561.6635510880201</v>
          </cell>
          <cell r="I104">
            <v>216.070003714384</v>
          </cell>
          <cell r="J104">
            <v>8.9598321802067601E-3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5802.7066787600197</v>
          </cell>
          <cell r="F105">
            <v>5859.4592382193196</v>
          </cell>
          <cell r="G105">
            <v>5333.9659886400996</v>
          </cell>
          <cell r="H105">
            <v>1849.9343188973201</v>
          </cell>
          <cell r="I105">
            <v>813.08191870668099</v>
          </cell>
          <cell r="J105">
            <v>76.037869228621901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-970.56778881903995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-0.34321303222940402</v>
          </cell>
          <cell r="J107">
            <v>-2.18293382793934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-0.72219072204782697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-7.8410582160137604E-3</v>
          </cell>
          <cell r="J109">
            <v>-7.1002966091928202E-3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2106.8165314194298</v>
          </cell>
          <cell r="F110">
            <v>1731.775261793</v>
          </cell>
          <cell r="G110">
            <v>1746.96158743568</v>
          </cell>
          <cell r="H110">
            <v>691.41909176446995</v>
          </cell>
          <cell r="I110">
            <v>200.159411946657</v>
          </cell>
          <cell r="J110">
            <v>36.610490506149901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-1.3381608844521799E-2</v>
          </cell>
          <cell r="J111">
            <v>-0.388933118053016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-0.24431666212289499</v>
          </cell>
          <cell r="J112">
            <v>-407.913124262699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5.8849486175827064</v>
          </cell>
          <cell r="F113">
            <v>1.2942492453909529</v>
          </cell>
          <cell r="G113">
            <v>1.3569838433659243</v>
          </cell>
          <cell r="H113">
            <v>1.0628572647528821E-3</v>
          </cell>
          <cell r="I113">
            <v>0.80160723694489644</v>
          </cell>
          <cell r="J113">
            <v>7.6694316814100194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9.2486382125413655</v>
          </cell>
          <cell r="F114">
            <v>8.7999944979371989</v>
          </cell>
          <cell r="G114">
            <v>7.9701300001254785</v>
          </cell>
          <cell r="H114">
            <v>4.9341952080588767</v>
          </cell>
          <cell r="I114">
            <v>6.3942932112602433</v>
          </cell>
          <cell r="J114">
            <v>2.557803791687856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2.7424543057031618</v>
          </cell>
          <cell r="J115">
            <v>1.0219017629249922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2.7423653289728764</v>
          </cell>
          <cell r="J116">
            <v>1.0194227924938613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8.8976730284230139E-5</v>
          </cell>
          <cell r="J117">
            <v>2.4789704311313603E-3</v>
          </cell>
        </row>
        <row r="118">
          <cell r="A118" t="str">
            <v>EH2</v>
          </cell>
          <cell r="B118" t="str">
            <v>VAR_fout</v>
          </cell>
          <cell r="C118" t="str">
            <v>D-ENGA</v>
          </cell>
          <cell r="I118">
            <v>2.6973035367316715E-3</v>
          </cell>
          <cell r="J118">
            <v>0.16527936967061113</v>
          </cell>
        </row>
        <row r="119">
          <cell r="A119" t="str">
            <v>TDSL</v>
          </cell>
          <cell r="B119" t="str">
            <v>VAR_fout</v>
          </cell>
          <cell r="C119" t="str">
            <v>D-TBDS1</v>
          </cell>
          <cell r="E119">
            <v>2.9709444192319041</v>
          </cell>
          <cell r="F119">
            <v>2.9709356605148369</v>
          </cell>
          <cell r="G119">
            <v>2.9709704215618915</v>
          </cell>
          <cell r="H119">
            <v>2.4271574857959193</v>
          </cell>
          <cell r="I119">
            <v>2.6572298432854415</v>
          </cell>
          <cell r="J119">
            <v>16.247819673905862</v>
          </cell>
        </row>
        <row r="120">
          <cell r="A120" t="str">
            <v>CNGA</v>
          </cell>
          <cell r="B120" t="str">
            <v>VAR_fout</v>
          </cell>
          <cell r="C120" t="str">
            <v>D-CNGA</v>
          </cell>
          <cell r="J120">
            <v>1.6208761813359507E-2</v>
          </cell>
        </row>
        <row r="121">
          <cell r="A121" t="str">
            <v>CNGA</v>
          </cell>
          <cell r="B121" t="str">
            <v>VAR_fin</v>
          </cell>
          <cell r="C121" t="str">
            <v>SUP_NGAH2</v>
          </cell>
          <cell r="J121">
            <v>1.8213460422258187E-3</v>
          </cell>
        </row>
        <row r="122">
          <cell r="A122" t="str">
            <v>CNGA</v>
          </cell>
          <cell r="B122" t="str">
            <v>VAR_fin</v>
          </cell>
          <cell r="C122" t="str">
            <v>SUP_NGAH2CCS</v>
          </cell>
          <cell r="J122">
            <v>1.4387415771133685E-2</v>
          </cell>
        </row>
        <row r="123">
          <cell r="A123" t="str">
            <v>LBIO</v>
          </cell>
          <cell r="B123" t="str">
            <v>VAR_fin</v>
          </cell>
          <cell r="C123" t="str">
            <v>D-LBIO</v>
          </cell>
          <cell r="H123">
            <v>1.2382318712939882E-5</v>
          </cell>
          <cell r="I123">
            <v>2.4487686343469945E-2</v>
          </cell>
          <cell r="J123">
            <v>2.1290026757299936</v>
          </cell>
        </row>
        <row r="124">
          <cell r="A124" t="str">
            <v>H2_E</v>
          </cell>
          <cell r="B124" t="str">
            <v>VAR_fout</v>
          </cell>
          <cell r="C124" t="str">
            <v>SUP_ELCH2_D</v>
          </cell>
          <cell r="H124">
            <v>1.6321662166271763E-6</v>
          </cell>
          <cell r="I124">
            <v>0.5140824087610012</v>
          </cell>
          <cell r="J124">
            <v>1.530966967754938</v>
          </cell>
        </row>
        <row r="125">
          <cell r="A125" t="str">
            <v>H2_E</v>
          </cell>
          <cell r="B125" t="str">
            <v>VAR_fin</v>
          </cell>
          <cell r="C125" t="str">
            <v>D-DH2</v>
          </cell>
          <cell r="H125">
            <v>1.6121175876414701E-6</v>
          </cell>
          <cell r="I125">
            <v>0.5140824087610012</v>
          </cell>
          <cell r="J125">
            <v>1.530966967754938</v>
          </cell>
        </row>
        <row r="126">
          <cell r="A126" t="str">
            <v>BNGA</v>
          </cell>
          <cell r="B126" t="str">
            <v>VAR_fout</v>
          </cell>
          <cell r="C126" t="str">
            <v>SUP_BIONGA</v>
          </cell>
          <cell r="E126">
            <v>1.1764787816938644</v>
          </cell>
          <cell r="F126">
            <v>1.2964888407457542</v>
          </cell>
          <cell r="G126">
            <v>1.2964870491405391</v>
          </cell>
          <cell r="H126">
            <v>6.1213470265923204</v>
          </cell>
          <cell r="I126">
            <v>5.693302030618586</v>
          </cell>
          <cell r="J126">
            <v>10.207873630481652</v>
          </cell>
        </row>
        <row r="127">
          <cell r="A127" t="str">
            <v>BNGA</v>
          </cell>
          <cell r="B127" t="str">
            <v>VAR_fin</v>
          </cell>
          <cell r="C127" t="str">
            <v>D-ENGA</v>
          </cell>
          <cell r="E127">
            <v>0.22596406213237463</v>
          </cell>
          <cell r="F127">
            <v>3.710273659313645E-3</v>
          </cell>
          <cell r="G127">
            <v>0.26855466464538674</v>
          </cell>
          <cell r="H127">
            <v>1.0505210427605059E-5</v>
          </cell>
          <cell r="I127">
            <v>0.3225307225625626</v>
          </cell>
          <cell r="J127">
            <v>7.6946360486163314</v>
          </cell>
        </row>
        <row r="128">
          <cell r="A128" t="str">
            <v>BNGA</v>
          </cell>
          <cell r="B128" t="str">
            <v>VAR_fin</v>
          </cell>
          <cell r="C128" t="str">
            <v>D-CNGA</v>
          </cell>
          <cell r="J128">
            <v>1.6260542641346715E-2</v>
          </cell>
        </row>
        <row r="129">
          <cell r="A129" t="str">
            <v>BNGA</v>
          </cell>
          <cell r="B129" t="str">
            <v>VAR_fin</v>
          </cell>
          <cell r="C129" t="str">
            <v>D-TNGA</v>
          </cell>
          <cell r="E129">
            <v>2.4501444284118153E-2</v>
          </cell>
          <cell r="F129">
            <v>1.7861902171624953E-2</v>
          </cell>
          <cell r="G129">
            <v>2.1916032091088139E-2</v>
          </cell>
          <cell r="H129">
            <v>1.6156270322279826E-3</v>
          </cell>
          <cell r="I129">
            <v>2.5860512652747924E-3</v>
          </cell>
          <cell r="J129">
            <v>1.1056555726743948E-3</v>
          </cell>
        </row>
        <row r="130">
          <cell r="A130" t="str">
            <v>BNGA</v>
          </cell>
          <cell r="B130" t="str">
            <v>VAR_fin</v>
          </cell>
          <cell r="C130" t="str">
            <v>D-SNGA</v>
          </cell>
          <cell r="E130">
            <v>0.30201850091660654</v>
          </cell>
          <cell r="F130">
            <v>0.6265052190370185</v>
          </cell>
          <cell r="G130">
            <v>0.46132032087660024</v>
          </cell>
          <cell r="H130">
            <v>1.9745642638810892</v>
          </cell>
          <cell r="I130">
            <v>1.1127201900858277</v>
          </cell>
          <cell r="J130">
            <v>3.5623615037481825E-3</v>
          </cell>
        </row>
        <row r="131">
          <cell r="A131" t="str">
            <v>BNGA</v>
          </cell>
          <cell r="B131" t="str">
            <v>VAR_fin</v>
          </cell>
          <cell r="C131" t="str">
            <v>D-RNGA</v>
          </cell>
          <cell r="E131">
            <v>0.30534687179654146</v>
          </cell>
          <cell r="F131">
            <v>0.64869305896020502</v>
          </cell>
          <cell r="G131">
            <v>0.54471233389388507</v>
          </cell>
          <cell r="H131">
            <v>4.1454830174713502</v>
          </cell>
          <cell r="I131">
            <v>1.7668184694234472</v>
          </cell>
          <cell r="J131">
            <v>3.6066221727319961E-3</v>
          </cell>
        </row>
        <row r="132">
          <cell r="A132" t="str">
            <v>BNGA</v>
          </cell>
          <cell r="B132" t="str">
            <v>VAR_fin</v>
          </cell>
          <cell r="C132" t="str">
            <v>D-INGA</v>
          </cell>
          <cell r="E132">
            <v>0.318751357258649</v>
          </cell>
          <cell r="F132">
            <v>3.8179534209301108E-4</v>
          </cell>
          <cell r="G132">
            <v>3.8127933627723473E-4</v>
          </cell>
          <cell r="H132">
            <v>3.8201328124891723E-4</v>
          </cell>
          <cell r="I132">
            <v>2.4905708036713095</v>
          </cell>
          <cell r="J132">
            <v>2.490132880271124</v>
          </cell>
        </row>
        <row r="133">
          <cell r="A133" t="str">
            <v>LFO</v>
          </cell>
          <cell r="B133" t="str">
            <v>VAR_fin</v>
          </cell>
          <cell r="C133" t="str">
            <v>D-ILFO</v>
          </cell>
          <cell r="E133">
            <v>9.4057247777177526</v>
          </cell>
          <cell r="F133">
            <v>8.9494609250461643</v>
          </cell>
          <cell r="G133">
            <v>8.1053181729720318</v>
          </cell>
          <cell r="H133">
            <v>5.0178179188140195</v>
          </cell>
          <cell r="I133">
            <v>3.9018503073224071</v>
          </cell>
          <cell r="J133">
            <v>1.077403824866526E-4</v>
          </cell>
        </row>
        <row r="134">
          <cell r="A134" t="str">
            <v>LFO</v>
          </cell>
          <cell r="B134" t="str">
            <v>VAR_fin</v>
          </cell>
          <cell r="C134" t="str">
            <v>D-SLFO</v>
          </cell>
          <cell r="E134">
            <v>30.77055387476365</v>
          </cell>
          <cell r="F134">
            <v>28.316440773303338</v>
          </cell>
          <cell r="G134">
            <v>24.794853710502739</v>
          </cell>
          <cell r="H134">
            <v>12.423988553767998</v>
          </cell>
          <cell r="I134">
            <v>2.3385555338843047</v>
          </cell>
          <cell r="J134">
            <v>1.215246602149962E-4</v>
          </cell>
        </row>
        <row r="135">
          <cell r="A135" t="str">
            <v>LFO</v>
          </cell>
          <cell r="B135" t="str">
            <v>VAR_fin</v>
          </cell>
          <cell r="C135" t="str">
            <v>D-RLFO</v>
          </cell>
          <cell r="E135">
            <v>61.254961338621641</v>
          </cell>
          <cell r="F135">
            <v>52.191728019091641</v>
          </cell>
          <cell r="G135">
            <v>48.154902405606869</v>
          </cell>
          <cell r="H135">
            <v>21.189464736608141</v>
          </cell>
          <cell r="I135">
            <v>2.931750389611731</v>
          </cell>
          <cell r="J135">
            <v>1.2157167137322599E-4</v>
          </cell>
        </row>
        <row r="136">
          <cell r="A136" t="str">
            <v>MNR</v>
          </cell>
          <cell r="B136" t="str">
            <v>VAR_fin</v>
          </cell>
          <cell r="C136" t="str">
            <v>SUP_MNRBIO</v>
          </cell>
          <cell r="E136">
            <v>3.7981123036001563</v>
          </cell>
          <cell r="F136">
            <v>12.540349061436519</v>
          </cell>
          <cell r="G136">
            <v>12.54040171323124</v>
          </cell>
          <cell r="H136">
            <v>12.540444094000744</v>
          </cell>
          <cell r="I136">
            <v>14.675065279015836</v>
          </cell>
          <cell r="J136">
            <v>26.999964862345124</v>
          </cell>
        </row>
        <row r="137">
          <cell r="A137" t="str">
            <v>TNGA</v>
          </cell>
          <cell r="B137" t="str">
            <v>VAR_fout</v>
          </cell>
          <cell r="C137" t="str">
            <v>D-TNGA</v>
          </cell>
          <cell r="E137">
            <v>0.29408835299503422</v>
          </cell>
          <cell r="F137">
            <v>0.19178099953602279</v>
          </cell>
          <cell r="G137">
            <v>0.24509643048437646</v>
          </cell>
          <cell r="H137">
            <v>9.5818998995963189E-3</v>
          </cell>
          <cell r="I137">
            <v>1.0345095008505027E-2</v>
          </cell>
          <cell r="J137">
            <v>4.3767760569679535E-3</v>
          </cell>
        </row>
        <row r="138">
          <cell r="A138" t="str">
            <v>WOD</v>
          </cell>
          <cell r="B138" t="str">
            <v>VAR_fin</v>
          </cell>
          <cell r="C138" t="str">
            <v>D-CWOD</v>
          </cell>
          <cell r="E138">
            <v>8.9231633983160101</v>
          </cell>
          <cell r="F138">
            <v>10.375398861797871</v>
          </cell>
          <cell r="G138">
            <v>4.4611738396365412</v>
          </cell>
          <cell r="H138">
            <v>9.8755704911686433</v>
          </cell>
          <cell r="I138">
            <v>10.150919018964196</v>
          </cell>
          <cell r="J138">
            <v>18.046595018622828</v>
          </cell>
        </row>
        <row r="139">
          <cell r="A139" t="str">
            <v>GSL</v>
          </cell>
          <cell r="B139" t="str">
            <v>VAR_fout</v>
          </cell>
          <cell r="C139" t="str">
            <v>SUP_H2GSL</v>
          </cell>
          <cell r="I139">
            <v>10.42637347381768</v>
          </cell>
          <cell r="J139">
            <v>1.0303234312821401</v>
          </cell>
        </row>
        <row r="140">
          <cell r="A140" t="str">
            <v>GSL</v>
          </cell>
          <cell r="B140" t="str">
            <v>VAR_fin</v>
          </cell>
          <cell r="C140" t="str">
            <v>D-TGSL</v>
          </cell>
          <cell r="E140">
            <v>78.627461771816002</v>
          </cell>
          <cell r="F140">
            <v>79.396466642538186</v>
          </cell>
          <cell r="G140">
            <v>72.275961905692427</v>
          </cell>
          <cell r="H140">
            <v>25.066860689665642</v>
          </cell>
          <cell r="I140">
            <v>11.01737017217725</v>
          </cell>
          <cell r="J140">
            <v>1.0303234312821401</v>
          </cell>
        </row>
        <row r="141">
          <cell r="A141" t="str">
            <v>IBIO</v>
          </cell>
          <cell r="B141" t="str">
            <v>VAR_fout</v>
          </cell>
          <cell r="C141" t="str">
            <v>D-IBIO</v>
          </cell>
          <cell r="E141">
            <v>0.43674736441125178</v>
          </cell>
          <cell r="F141">
            <v>0.5520705877396842</v>
          </cell>
          <cell r="G141">
            <v>2.2236652505444683</v>
          </cell>
          <cell r="H141">
            <v>2.2243584945026331</v>
          </cell>
          <cell r="I141">
            <v>2.2250378243742728</v>
          </cell>
          <cell r="J141">
            <v>3.7774466188892841</v>
          </cell>
        </row>
        <row r="142">
          <cell r="A142" t="str">
            <v>SNGA</v>
          </cell>
          <cell r="B142" t="str">
            <v>VAR_fout</v>
          </cell>
          <cell r="C142" t="str">
            <v>D-SNGA</v>
          </cell>
          <cell r="E142">
            <v>27.362049787638764</v>
          </cell>
          <cell r="F142">
            <v>27.294776413269968</v>
          </cell>
          <cell r="G142">
            <v>22.558275358236475</v>
          </cell>
          <cell r="H142">
            <v>16.34347240413241</v>
          </cell>
          <cell r="I142">
            <v>15.788017241961386</v>
          </cell>
          <cell r="J142">
            <v>4.9615526253838294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2.5315342551439756E-5</v>
          </cell>
          <cell r="I143">
            <v>8.1680911922802073E-5</v>
          </cell>
          <cell r="J143">
            <v>3.895296744442472E-4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1.3441654220890077E-4</v>
          </cell>
          <cell r="I144">
            <v>5.4842804019489299E-4</v>
          </cell>
          <cell r="J144">
            <v>3.7211568432279113E-3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2.5946453499131611E-5</v>
          </cell>
          <cell r="I145">
            <v>7.0505001175370406E-5</v>
          </cell>
          <cell r="J145">
            <v>1.1636344484857343E-4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2.6779163674259979E-5</v>
          </cell>
          <cell r="I146">
            <v>8.3307706449973966E-5</v>
          </cell>
          <cell r="J146">
            <v>5.4662569833502318E-4</v>
          </cell>
        </row>
        <row r="147">
          <cell r="A147" t="str">
            <v>AUX_H2STG_IN</v>
          </cell>
          <cell r="B147" t="str">
            <v>VAR_fin</v>
          </cell>
          <cell r="C147" t="str">
            <v>STG-H2</v>
          </cell>
          <cell r="H147">
            <v>5.6375582484069579E-5</v>
          </cell>
          <cell r="I147">
            <v>3.1293442064674677E-4</v>
          </cell>
          <cell r="J147">
            <v>2.6686380256000573E-3</v>
          </cell>
        </row>
        <row r="148">
          <cell r="A148" t="str">
            <v>H2</v>
          </cell>
          <cell r="B148" t="str">
            <v>VAR_fout</v>
          </cell>
          <cell r="C148" t="str">
            <v>SUP_NGAH2</v>
          </cell>
          <cell r="J148">
            <v>1.3842229920916225E-3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2.9212071496797632E-5</v>
          </cell>
          <cell r="I149">
            <v>9.1060519939214105E-5</v>
          </cell>
          <cell r="J149">
            <v>4.1185240240458929E-4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1.3302994172120598E-4</v>
          </cell>
          <cell r="I150">
            <v>5.4294570653861968E-4</v>
          </cell>
          <cell r="J150">
            <v>3.6839315354568894E-3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5.3855538437290249E-5</v>
          </cell>
          <cell r="I151">
            <v>2.94200731995286E-4</v>
          </cell>
          <cell r="J151">
            <v>1.9575017406500929E-3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2.7832447553418453E-5</v>
          </cell>
          <cell r="I152">
            <v>9.5579367285073964E-5</v>
          </cell>
          <cell r="J152">
            <v>5.8847528946475206E-4</v>
          </cell>
        </row>
        <row r="153">
          <cell r="A153" t="str">
            <v>H2</v>
          </cell>
          <cell r="B153" t="str">
            <v>VAR_fout</v>
          </cell>
          <cell r="C153" t="str">
            <v>STG-H2</v>
          </cell>
          <cell r="H153">
            <v>2.2129884233699889E-5</v>
          </cell>
          <cell r="I153">
            <v>6.210508731904528E-5</v>
          </cell>
          <cell r="J153">
            <v>7.2610210293745224E-4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1.2292725849085012E-3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18.352752586203071</v>
          </cell>
          <cell r="J155">
            <v>9.1748051324447637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5.5846162451889194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9.9273168820822495E-3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3.5102698047427845E-3</v>
          </cell>
          <cell r="F158">
            <v>4.1781516031292954E-3</v>
          </cell>
          <cell r="G158">
            <v>4.1884572849596362E-3</v>
          </cell>
          <cell r="H158">
            <v>4.1892226080768539E-3</v>
          </cell>
          <cell r="I158">
            <v>3.1242357594763357</v>
          </cell>
          <cell r="J158">
            <v>11.285292028193949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1.5959964117650536E-6</v>
          </cell>
          <cell r="I159">
            <v>0.50894158467339135</v>
          </cell>
          <cell r="J159">
            <v>1.5156572980773886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2.5315342551439756E-5</v>
          </cell>
          <cell r="I160">
            <v>8.1680911922802073E-5</v>
          </cell>
          <cell r="J160">
            <v>3.895296744442472E-4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1.3441654220890077E-4</v>
          </cell>
          <cell r="I161">
            <v>5.4842804019489299E-4</v>
          </cell>
          <cell r="J161">
            <v>3.7211568432279113E-3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2.5946453499131611E-5</v>
          </cell>
          <cell r="I162">
            <v>7.0505001175370406E-5</v>
          </cell>
          <cell r="J162">
            <v>1.1636344484857343E-4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2.6779163674259979E-5</v>
          </cell>
          <cell r="I163">
            <v>8.3307706449973966E-5</v>
          </cell>
          <cell r="J163">
            <v>5.4662569833502318E-4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5.6375582484069579E-5</v>
          </cell>
          <cell r="I164">
            <v>3.1293442064674677E-4</v>
          </cell>
          <cell r="J164">
            <v>2.6686380256000573E-3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7.5589004715874764E-2</v>
          </cell>
          <cell r="J165">
            <v>6.2252759855109197E-2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I166">
            <v>2.6441425263563625E-3</v>
          </cell>
          <cell r="J166">
            <v>0.16524548817579307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2.2774652667428128E-4</v>
          </cell>
          <cell r="G167">
            <v>9.4751421802996178E-5</v>
          </cell>
          <cell r="H167">
            <v>2.9275691249245727E-4</v>
          </cell>
          <cell r="I167">
            <v>2.7026656972346628E-4</v>
          </cell>
          <cell r="J167">
            <v>7.2383535999114533E-5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14.894819248310991</v>
          </cell>
          <cell r="J168">
            <v>1.4718906161173437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H169">
            <v>1.1316719063297692E-3</v>
          </cell>
          <cell r="I169">
            <v>2.8418956419887643E-3</v>
          </cell>
          <cell r="J169">
            <v>1.4532274530591797E-2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H170">
            <v>1.1798564406571115E-3</v>
          </cell>
          <cell r="I170">
            <v>3.2804385498114213E-3</v>
          </cell>
          <cell r="J170">
            <v>3.6062343818202336E-2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I171">
            <v>0.18683617263905494</v>
          </cell>
          <cell r="J171">
            <v>8.6029739148181836E-2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2.5643382992758235</v>
          </cell>
          <cell r="J172">
            <v>11.392385391439426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2.9212071496797639E-5</v>
          </cell>
          <cell r="I173">
            <v>9.1060519939214362E-5</v>
          </cell>
          <cell r="J173">
            <v>4.1185240240458929E-4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1.3302994172120615E-4</v>
          </cell>
          <cell r="I174">
            <v>5.4294570653861968E-4</v>
          </cell>
          <cell r="J174">
            <v>3.6839315354568894E-3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5.3855538437290249E-5</v>
          </cell>
          <cell r="I175">
            <v>2.94200731995286E-4</v>
          </cell>
          <cell r="J175">
            <v>1.9575017406500929E-3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2.7832447553418453E-5</v>
          </cell>
          <cell r="I176">
            <v>9.5579367285073964E-5</v>
          </cell>
          <cell r="J176">
            <v>5.8847528946475206E-4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2.2129884233699889E-5</v>
          </cell>
          <cell r="I177">
            <v>6.2105087319045294E-5</v>
          </cell>
          <cell r="J177">
            <v>7.2610210293745224E-4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47.561292241215682</v>
          </cell>
          <cell r="F178">
            <v>48.283299033409044</v>
          </cell>
          <cell r="G178">
            <v>45.197388200477803</v>
          </cell>
          <cell r="H178">
            <v>33.207158889942114</v>
          </cell>
          <cell r="I178">
            <v>19.117562883894369</v>
          </cell>
          <cell r="J178">
            <v>12.779066260030319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8.9231633983160101</v>
          </cell>
          <cell r="F179">
            <v>10.375398861797871</v>
          </cell>
          <cell r="G179">
            <v>4.4611738396365412</v>
          </cell>
          <cell r="H179">
            <v>9.8755704911686433</v>
          </cell>
          <cell r="I179">
            <v>10.150919018964196</v>
          </cell>
          <cell r="J179">
            <v>18.046595018622828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2.0487876415141676E-3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0.18452398313777893</v>
          </cell>
          <cell r="G181">
            <v>8.4651571435871795E-3</v>
          </cell>
          <cell r="H181">
            <v>0.88871429620562237</v>
          </cell>
          <cell r="I181">
            <v>0.8892850052907082</v>
          </cell>
          <cell r="J181">
            <v>0.85028218366017083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9.6286486986015767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8.0053104625462269E-3</v>
          </cell>
          <cell r="J183">
            <v>5.1273796141086174E-2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1.5548690898562525</v>
          </cell>
          <cell r="F184">
            <v>1.8880920484281791</v>
          </cell>
          <cell r="G184">
            <v>0.22621536246825558</v>
          </cell>
          <cell r="H184">
            <v>8.0333043080782111E-5</v>
          </cell>
          <cell r="I184">
            <v>7.9976126807686647</v>
          </cell>
          <cell r="J184">
            <v>1.3411781319905545E-3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5.0006748826618354E-4</v>
          </cell>
          <cell r="J185">
            <v>4.5282503885158277E-4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7.1186882384473176</v>
          </cell>
          <cell r="F186">
            <v>8.2972347383165772</v>
          </cell>
          <cell r="G186">
            <v>1.6245291786404388</v>
          </cell>
          <cell r="H186">
            <v>1.5329588842171544</v>
          </cell>
          <cell r="I186">
            <v>1.2508807502998773</v>
          </cell>
          <cell r="J186">
            <v>1.0083740704092901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0.24960607001244386</v>
          </cell>
          <cell r="F187">
            <v>5.5480919153369579E-3</v>
          </cell>
          <cell r="G187">
            <v>2.60196414138426</v>
          </cell>
          <cell r="H187">
            <v>7.453816917370661</v>
          </cell>
          <cell r="I187">
            <v>7.398497095786647E-4</v>
          </cell>
          <cell r="J187">
            <v>4.5657429970488315E-4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3.8953549445614665E-3</v>
          </cell>
          <cell r="J188">
            <v>6.5037169046986474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0.33976482281209092</v>
          </cell>
          <cell r="J189">
            <v>1.0916725963871694E-6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0.56179096919268423</v>
          </cell>
          <cell r="G190">
            <v>0.14682143557583408</v>
          </cell>
          <cell r="H190">
            <v>1.4142755437373509E-3</v>
          </cell>
          <cell r="I190">
            <v>1.0350018875997004E-3</v>
          </cell>
          <cell r="J190">
            <v>3.9269641389156694E-2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2.4695931189728011</v>
          </cell>
          <cell r="F191">
            <v>1.7908540886756112</v>
          </cell>
          <cell r="G191">
            <v>2.7940933889653246</v>
          </cell>
          <cell r="H191">
            <v>3.0259146149651253</v>
          </cell>
          <cell r="I191">
            <v>2.8291564090137156</v>
          </cell>
          <cell r="J191">
            <v>18.725928382547615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0.54566383220082548</v>
          </cell>
          <cell r="F192">
            <v>0.66260468448084975</v>
          </cell>
          <cell r="G192">
            <v>7.938773906589075E-2</v>
          </cell>
          <cell r="H192">
            <v>2.8191978621085137E-5</v>
          </cell>
          <cell r="I192">
            <v>2.8066722866357883</v>
          </cell>
          <cell r="J192">
            <v>4.7067139217075071E-4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1.3670310386248361E-3</v>
          </cell>
          <cell r="J193">
            <v>2.2824063536405141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1.8314528234289487E-4</v>
          </cell>
          <cell r="H194">
            <v>1.8380051074561724E-4</v>
          </cell>
          <cell r="I194">
            <v>2.6012070699894672</v>
          </cell>
          <cell r="J194">
            <v>2.6011952319613512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2.4323497392875751E-3</v>
          </cell>
          <cell r="H195">
            <v>5.0646743848076414E-3</v>
          </cell>
          <cell r="I195">
            <v>4.4123056157242191E-3</v>
          </cell>
          <cell r="J195">
            <v>7.7967852243307365E-2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2.4822630342602376E-3</v>
          </cell>
          <cell r="H196">
            <v>5.2491000579737782E-3</v>
          </cell>
          <cell r="I196">
            <v>4.5826235605108375E-3</v>
          </cell>
          <cell r="J196">
            <v>0.1628983689568812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3.0152569511736269</v>
          </cell>
          <cell r="F197">
            <v>3.0152480618176591</v>
          </cell>
          <cell r="G197">
            <v>3.0152833413362137</v>
          </cell>
          <cell r="H197">
            <v>3.0169497150882871</v>
          </cell>
          <cell r="I197">
            <v>3.028128892071968</v>
          </cell>
          <cell r="J197">
            <v>18.206152402078523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6.1510033476962975E-3</v>
          </cell>
          <cell r="J198">
            <v>6.7600399697616362E-3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5.629414627434242</v>
          </cell>
          <cell r="F199">
            <v>5.6371681023407954</v>
          </cell>
          <cell r="G199">
            <v>5.4279791739799181</v>
          </cell>
          <cell r="H199">
            <v>6.9211508615250983</v>
          </cell>
          <cell r="I199">
            <v>7.6577671842505968</v>
          </cell>
          <cell r="J199">
            <v>9.8275587175771317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1.2382318712939882E-5</v>
          </cell>
          <cell r="I200">
            <v>2.4487686343469945E-2</v>
          </cell>
          <cell r="J200">
            <v>2.1290026757299936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1.3280112949650908</v>
          </cell>
          <cell r="F201">
            <v>4.3847374340687209</v>
          </cell>
          <cell r="G201">
            <v>4.3847558437871497</v>
          </cell>
          <cell r="H201">
            <v>4.384770662238024</v>
          </cell>
          <cell r="I201">
            <v>5.1311417059496005</v>
          </cell>
          <cell r="J201">
            <v>9.4405471546661346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1.2438348537332177E-3</v>
          </cell>
          <cell r="J202">
            <v>1.2512986726888643E-2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0.13668443195391022</v>
          </cell>
          <cell r="G203">
            <v>6.27048677302754E-3</v>
          </cell>
          <cell r="H203">
            <v>0.6583068860782384</v>
          </cell>
          <cell r="I203">
            <v>0.65872963354867209</v>
          </cell>
          <cell r="J203">
            <v>0.62983865456308863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5.3767621344652239E-3</v>
          </cell>
          <cell r="J204">
            <v>3.4248729440689067E-2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0.43674736441125178</v>
          </cell>
          <cell r="F205">
            <v>0.5520705877396842</v>
          </cell>
          <cell r="G205">
            <v>2.2236652505444683</v>
          </cell>
          <cell r="H205">
            <v>2.2243584945026331</v>
          </cell>
          <cell r="I205">
            <v>2.2250378243742728</v>
          </cell>
          <cell r="J205">
            <v>3.7774466188892841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1.1839600421804968</v>
          </cell>
          <cell r="F206">
            <v>4.1164818992322409</v>
          </cell>
          <cell r="G206">
            <v>4.2876497115303698</v>
          </cell>
          <cell r="H206">
            <v>9.7744967545413652E-5</v>
          </cell>
          <cell r="I206">
            <v>0.10434183728637794</v>
          </cell>
          <cell r="J206">
            <v>2.3592357067492298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1.2890791369652281</v>
          </cell>
          <cell r="F207">
            <v>1.4205753150153078</v>
          </cell>
          <cell r="G207">
            <v>1.4205733519362134</v>
          </cell>
          <cell r="H207">
            <v>6.7072189187663671</v>
          </cell>
          <cell r="I207">
            <v>6.238205892286059</v>
          </cell>
          <cell r="J207">
            <v>11.184865494034453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4.0477138192634978</v>
          </cell>
          <cell r="F208">
            <v>4.5858047681030634</v>
          </cell>
          <cell r="G208">
            <v>3.0531665886383506</v>
          </cell>
          <cell r="H208">
            <v>3.032136808956257</v>
          </cell>
          <cell r="I208">
            <v>4.9163162764694821</v>
          </cell>
          <cell r="J208">
            <v>4.7587125794582281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1.1839600421804968</v>
          </cell>
          <cell r="F209">
            <v>4.1164818992322409</v>
          </cell>
          <cell r="G209">
            <v>4.2876497115303698</v>
          </cell>
          <cell r="H209">
            <v>9.7744967545413652E-5</v>
          </cell>
          <cell r="I209">
            <v>0.10434183728637794</v>
          </cell>
          <cell r="J209">
            <v>2.3592357067492298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5.9796981202957431</v>
          </cell>
          <cell r="F210">
            <v>6.9696771801859221</v>
          </cell>
          <cell r="G210">
            <v>1.3646045100579673</v>
          </cell>
          <cell r="H210">
            <v>1.2876854627424095</v>
          </cell>
          <cell r="I210">
            <v>1.0507398302518964</v>
          </cell>
          <cell r="J210">
            <v>0.8470342191438035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30.256649765192773</v>
          </cell>
          <cell r="F211">
            <v>27.843523212539019</v>
          </cell>
          <cell r="G211">
            <v>24.383136819351353</v>
          </cell>
          <cell r="H211">
            <v>12.221450195201431</v>
          </cell>
          <cell r="I211">
            <v>2.3038032459509425</v>
          </cell>
          <cell r="J211">
            <v>7.6736228021684588E-2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4.4341529344762742</v>
          </cell>
          <cell r="F212">
            <v>4.5965752227086423</v>
          </cell>
          <cell r="G212">
            <v>2.9436337869180029</v>
          </cell>
          <cell r="H212">
            <v>3.8778453374087807</v>
          </cell>
          <cell r="I212">
            <v>5.5818159194637351</v>
          </cell>
          <cell r="J212">
            <v>3.8067429278226492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2.3926674079721716E-4</v>
          </cell>
          <cell r="J213">
            <v>2.1666269801511138E-4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0.11942874163274815</v>
          </cell>
          <cell r="F214">
            <v>2.6545894331755789E-3</v>
          </cell>
          <cell r="G214">
            <v>1.2449589193226129</v>
          </cell>
          <cell r="H214">
            <v>3.5664195776893104</v>
          </cell>
          <cell r="I214">
            <v>3.5399507635342826E-4</v>
          </cell>
          <cell r="J214">
            <v>2.1845660272960923E-4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4.5535816761090224</v>
          </cell>
          <cell r="F215">
            <v>4.5992298121418136</v>
          </cell>
          <cell r="G215">
            <v>4.1885927062406196</v>
          </cell>
          <cell r="H215">
            <v>7.4442649731426984</v>
          </cell>
          <cell r="I215">
            <v>5.5824091812808838</v>
          </cell>
          <cell r="J215">
            <v>3.8071780471233878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81.958605950025373</v>
          </cell>
          <cell r="F216">
            <v>82.761286902728997</v>
          </cell>
          <cell r="G216">
            <v>75.340823509238021</v>
          </cell>
          <cell r="H216">
            <v>32.033336523749178</v>
          </cell>
          <cell r="I216">
            <v>16.355827257588025</v>
          </cell>
          <cell r="J216">
            <v>4.7664012336663264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60.231932098015704</v>
          </cell>
          <cell r="F217">
            <v>51.320065337172437</v>
          </cell>
          <cell r="G217">
            <v>47.353099205234173</v>
          </cell>
          <cell r="H217">
            <v>20.84073571662779</v>
          </cell>
          <cell r="I217">
            <v>2.8872898552338522</v>
          </cell>
          <cell r="J217">
            <v>0.16029525115129445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2.4603535026446186E-6</v>
          </cell>
          <cell r="I218">
            <v>0.66333214033677634</v>
          </cell>
          <cell r="J218">
            <v>1.8670328875060218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2.2358441323659939E-6</v>
          </cell>
          <cell r="I219">
            <v>0.66333214033677634</v>
          </cell>
          <cell r="J219">
            <v>1.8670328875060218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1.2890791369652281</v>
          </cell>
          <cell r="F220">
            <v>1.4205753150153078</v>
          </cell>
          <cell r="G220">
            <v>1.4205733519362134</v>
          </cell>
          <cell r="H220">
            <v>6.7072189187663671</v>
          </cell>
          <cell r="I220">
            <v>6.238205892286059</v>
          </cell>
          <cell r="J220">
            <v>11.184865494034453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1.2890791369652281</v>
          </cell>
          <cell r="F221">
            <v>1.4205753150153078</v>
          </cell>
          <cell r="G221">
            <v>1.4205733519362134</v>
          </cell>
          <cell r="H221">
            <v>6.7072189187663671</v>
          </cell>
          <cell r="I221">
            <v>6.238205892286059</v>
          </cell>
          <cell r="J221">
            <v>11.184865494034453</v>
          </cell>
        </row>
        <row r="222">
          <cell r="A222" t="str">
            <v>RSH2</v>
          </cell>
          <cell r="B222" t="str">
            <v>VAR_fout</v>
          </cell>
          <cell r="C222" t="str">
            <v>D-SNGA</v>
          </cell>
          <cell r="H222">
            <v>1.1355388563094781E-3</v>
          </cell>
          <cell r="I222">
            <v>2.8426652660524816E-3</v>
          </cell>
          <cell r="J222">
            <v>1.4534002680867075E-2</v>
          </cell>
        </row>
        <row r="223">
          <cell r="A223" t="str">
            <v>RSH2</v>
          </cell>
          <cell r="B223" t="str">
            <v>VAR_fout</v>
          </cell>
          <cell r="C223" t="str">
            <v>D-RNGA</v>
          </cell>
          <cell r="H223">
            <v>1.1819942634744686E-3</v>
          </cell>
          <cell r="I223">
            <v>3.2847717042377763E-3</v>
          </cell>
          <cell r="J223">
            <v>3.6067808363436205E-2</v>
          </cell>
        </row>
        <row r="224">
          <cell r="A224" t="str">
            <v>LTH</v>
          </cell>
          <cell r="B224" t="str">
            <v>VAR_fout</v>
          </cell>
          <cell r="C224" t="str">
            <v>SUP_WODBIO</v>
          </cell>
          <cell r="F224">
            <v>1.6402131834469248E-2</v>
          </cell>
          <cell r="G224">
            <v>7.5245841276330445E-4</v>
          </cell>
          <cell r="H224">
            <v>7.8996826329388634E-2</v>
          </cell>
          <cell r="I224">
            <v>7.9047556025840793E-2</v>
          </cell>
          <cell r="J224">
            <v>7.5580638547570689E-2</v>
          </cell>
        </row>
        <row r="225">
          <cell r="A225" t="str">
            <v>LTH</v>
          </cell>
          <cell r="B225" t="str">
            <v>VAR_fout</v>
          </cell>
          <cell r="C225" t="str">
            <v>SUP_WODBIOCCS</v>
          </cell>
          <cell r="I225">
            <v>6.5154990707839023E-4</v>
          </cell>
          <cell r="J225">
            <v>4.114783671669826E-3</v>
          </cell>
        </row>
        <row r="226">
          <cell r="A226" t="str">
            <v>LTH</v>
          </cell>
          <cell r="B226" t="str">
            <v>VAR_fout</v>
          </cell>
          <cell r="C226" t="str">
            <v>CT_CWODBDS</v>
          </cell>
          <cell r="E226">
            <v>0.21280889455832169</v>
          </cell>
          <cell r="F226">
            <v>0.2584158269475309</v>
          </cell>
          <cell r="G226">
            <v>3.0961218235697339E-2</v>
          </cell>
          <cell r="H226">
            <v>1.0994871662223193E-5</v>
          </cell>
          <cell r="I226">
            <v>1.0946021917879551</v>
          </cell>
          <cell r="J226">
            <v>1.8356184294659252E-4</v>
          </cell>
        </row>
        <row r="227">
          <cell r="A227" t="str">
            <v>LTH</v>
          </cell>
          <cell r="B227" t="str">
            <v>VAR_fout</v>
          </cell>
          <cell r="C227" t="str">
            <v>CT_CWODBDSCCS</v>
          </cell>
          <cell r="I227">
            <v>5.331421050636853E-4</v>
          </cell>
          <cell r="J227">
            <v>0.89013847791980005</v>
          </cell>
        </row>
        <row r="228">
          <cell r="A228" t="str">
            <v>LTH</v>
          </cell>
          <cell r="B228" t="str">
            <v>VAR_fin</v>
          </cell>
          <cell r="C228" t="str">
            <v>D-CHEAT</v>
          </cell>
          <cell r="I228">
            <v>2.1189253940665957</v>
          </cell>
          <cell r="J228">
            <v>0.69741810801260573</v>
          </cell>
        </row>
        <row r="229">
          <cell r="A229" t="str">
            <v>LNGA</v>
          </cell>
          <cell r="B229" t="str">
            <v>VAR_fin</v>
          </cell>
          <cell r="C229" t="str">
            <v>D-LNGA</v>
          </cell>
          <cell r="H229">
            <v>1.7904221099674836E-2</v>
          </cell>
          <cell r="I229">
            <v>2.2046020484598937E-2</v>
          </cell>
          <cell r="J229">
            <v>3.4706823042471063E-3</v>
          </cell>
        </row>
        <row r="230">
          <cell r="A230" t="str">
            <v>IH2</v>
          </cell>
          <cell r="B230" t="str">
            <v>VAR_fout</v>
          </cell>
          <cell r="C230" t="str">
            <v>D-INGA</v>
          </cell>
          <cell r="I230">
            <v>0.18683617263907482</v>
          </cell>
          <cell r="J230">
            <v>8.60355709546613E-2</v>
          </cell>
        </row>
        <row r="231">
          <cell r="A231" t="str">
            <v>WHEAT</v>
          </cell>
          <cell r="B231" t="str">
            <v>VAR_fin</v>
          </cell>
          <cell r="C231" t="str">
            <v>D-CHEAT</v>
          </cell>
          <cell r="I231">
            <v>0.62355036007417608</v>
          </cell>
          <cell r="J231">
            <v>0.32454096752313893</v>
          </cell>
        </row>
        <row r="232">
          <cell r="A232" t="str">
            <v>SOL</v>
          </cell>
          <cell r="B232" t="str">
            <v>VAR_fin</v>
          </cell>
          <cell r="C232" t="str">
            <v>ESOL-PV_E</v>
          </cell>
          <cell r="H232">
            <v>2.4603535026446186E-6</v>
          </cell>
          <cell r="I232">
            <v>0.66333214033677634</v>
          </cell>
          <cell r="J232">
            <v>1.8670328875060218</v>
          </cell>
        </row>
        <row r="233">
          <cell r="A233" t="str">
            <v>TKER</v>
          </cell>
          <cell r="B233" t="str">
            <v>VAR_fout</v>
          </cell>
          <cell r="C233" t="str">
            <v>D-TBDS1</v>
          </cell>
          <cell r="H233">
            <v>0.54546008615826302</v>
          </cell>
          <cell r="I233">
            <v>0.32640752904397602</v>
          </cell>
          <cell r="J233">
            <v>1.6907831388932499</v>
          </cell>
        </row>
        <row r="234">
          <cell r="A234" t="str">
            <v>CELC</v>
          </cell>
          <cell r="B234" t="str">
            <v>VAR_fout</v>
          </cell>
          <cell r="C234" t="str">
            <v>D-CELC</v>
          </cell>
          <cell r="E234">
            <v>0.23891125408244224</v>
          </cell>
          <cell r="F234">
            <v>5.6424943600802906E-2</v>
          </cell>
          <cell r="G234">
            <v>2.0531701565223046</v>
          </cell>
          <cell r="H234">
            <v>5.8546687752018896</v>
          </cell>
          <cell r="I234">
            <v>22.581704951670073</v>
          </cell>
          <cell r="J234">
            <v>23.234252232655223</v>
          </cell>
        </row>
        <row r="235">
          <cell r="A235" t="str">
            <v>CELC</v>
          </cell>
          <cell r="B235" t="str">
            <v>VAR_fin</v>
          </cell>
          <cell r="C235" t="str">
            <v>SUP_H2NGA</v>
          </cell>
          <cell r="I235">
            <v>1.3386812735181419E-3</v>
          </cell>
          <cell r="J235">
            <v>1.1024963770339838E-3</v>
          </cell>
        </row>
        <row r="236">
          <cell r="A236" t="str">
            <v>CELC</v>
          </cell>
          <cell r="B236" t="str">
            <v>VAR_fin</v>
          </cell>
          <cell r="C236" t="str">
            <v>SUP_ELCH2_SOEC</v>
          </cell>
          <cell r="I236">
            <v>18.352752586203071</v>
          </cell>
          <cell r="J236">
            <v>9.1748051324447637</v>
          </cell>
        </row>
        <row r="237">
          <cell r="A237" t="str">
            <v>CELC</v>
          </cell>
          <cell r="B237" t="str">
            <v>VAR_fin</v>
          </cell>
          <cell r="C237" t="str">
            <v>SUP_ELCH2</v>
          </cell>
          <cell r="E237">
            <v>5.1244814667777841E-3</v>
          </cell>
          <cell r="F237">
            <v>6.0203913589759331E-3</v>
          </cell>
          <cell r="G237">
            <v>5.9200809681408291E-3</v>
          </cell>
          <cell r="H237">
            <v>5.7386611069545901E-3</v>
          </cell>
          <cell r="I237">
            <v>4.031271947711403</v>
          </cell>
          <cell r="J237">
            <v>13.762551253895055</v>
          </cell>
        </row>
        <row r="238">
          <cell r="A238" t="str">
            <v>CELC</v>
          </cell>
          <cell r="B238" t="str">
            <v>VAR_fin</v>
          </cell>
          <cell r="C238" t="str">
            <v>CT_CWODBDS</v>
          </cell>
          <cell r="E238">
            <v>3.792363633795736E-2</v>
          </cell>
          <cell r="F238">
            <v>4.6051025571419026E-2</v>
          </cell>
          <cell r="G238">
            <v>5.5174478650793996E-3</v>
          </cell>
          <cell r="H238">
            <v>1.9593425141654174E-6</v>
          </cell>
          <cell r="I238">
            <v>0.19506372392118701</v>
          </cell>
          <cell r="J238">
            <v>3.2711661755867198E-5</v>
          </cell>
        </row>
        <row r="239">
          <cell r="A239" t="str">
            <v>CELC</v>
          </cell>
          <cell r="B239" t="str">
            <v>VAR_fin</v>
          </cell>
          <cell r="C239" t="str">
            <v>CT_CWODETHCCS</v>
          </cell>
          <cell r="I239">
            <v>5.0246015567415546E-4</v>
          </cell>
          <cell r="J239">
            <v>4.5499166583173422E-4</v>
          </cell>
        </row>
        <row r="240">
          <cell r="A240" t="str">
            <v>CELC</v>
          </cell>
          <cell r="B240" t="str">
            <v>VAR_fin</v>
          </cell>
          <cell r="C240" t="str">
            <v>CT_CWODETH</v>
          </cell>
          <cell r="E240">
            <v>0.19586313627770721</v>
          </cell>
          <cell r="F240">
            <v>4.3535266704079496E-3</v>
          </cell>
          <cell r="G240">
            <v>2.0417326276890861</v>
          </cell>
          <cell r="H240">
            <v>5.8489281074104715</v>
          </cell>
          <cell r="I240">
            <v>5.8055192521962228E-4</v>
          </cell>
          <cell r="J240">
            <v>3.5826882847655886E-4</v>
          </cell>
        </row>
        <row r="241">
          <cell r="A241" t="str">
            <v>CELC</v>
          </cell>
          <cell r="B241" t="str">
            <v>VAR_fin</v>
          </cell>
          <cell r="C241" t="str">
            <v>SUP_DAC</v>
          </cell>
          <cell r="I241">
            <v>1.8555830931070208E-5</v>
          </cell>
          <cell r="J241">
            <v>3.5392913742824511E-4</v>
          </cell>
        </row>
        <row r="242">
          <cell r="A242" t="str">
            <v>CELC</v>
          </cell>
          <cell r="B242" t="str">
            <v>VAR_fin</v>
          </cell>
          <cell r="C242" t="str">
            <v>CT_CWODBDSCCS</v>
          </cell>
          <cell r="I242">
            <v>1.7644464905679132E-4</v>
          </cell>
          <cell r="J242">
            <v>0.29459344864488679</v>
          </cell>
        </row>
        <row r="243">
          <cell r="A243" t="str">
            <v>SBIO</v>
          </cell>
          <cell r="B243" t="str">
            <v>VAR_fout</v>
          </cell>
          <cell r="C243" t="str">
            <v>D-SBIO</v>
          </cell>
          <cell r="E243">
            <v>4.0477138192634978</v>
          </cell>
          <cell r="F243">
            <v>4.5858047681030634</v>
          </cell>
          <cell r="G243">
            <v>3.0531665886383506</v>
          </cell>
          <cell r="H243">
            <v>3.032136808956257</v>
          </cell>
          <cell r="I243">
            <v>4.9163162764694821</v>
          </cell>
          <cell r="J243">
            <v>4.7587125794582281</v>
          </cell>
        </row>
        <row r="244">
          <cell r="A244" t="str">
            <v>INGA</v>
          </cell>
          <cell r="B244" t="str">
            <v>VAR_fout</v>
          </cell>
          <cell r="C244" t="str">
            <v>D-INGA</v>
          </cell>
          <cell r="E244">
            <v>37.553684659991376</v>
          </cell>
          <cell r="F244">
            <v>30.607562010985102</v>
          </cell>
          <cell r="G244">
            <v>30.876239670408598</v>
          </cell>
          <cell r="H244">
            <v>12.220232046234088</v>
          </cell>
          <cell r="I244">
            <v>6.0184845028745571</v>
          </cell>
          <cell r="J244">
            <v>3.1282609861927591</v>
          </cell>
        </row>
        <row r="245">
          <cell r="A245" t="str">
            <v>DSL</v>
          </cell>
          <cell r="B245" t="str">
            <v>VAR_fout</v>
          </cell>
          <cell r="C245" t="str">
            <v>SUP_H2DSL</v>
          </cell>
          <cell r="I245">
            <v>1.1475513907678934</v>
          </cell>
          <cell r="J245">
            <v>6.6075819582927418</v>
          </cell>
        </row>
        <row r="246">
          <cell r="A246" t="str">
            <v>WSTREN</v>
          </cell>
          <cell r="B246" t="str">
            <v>VAR_fin</v>
          </cell>
          <cell r="C246" t="str">
            <v>D-CWST</v>
          </cell>
          <cell r="E246">
            <v>9.6793763508283579</v>
          </cell>
          <cell r="F246">
            <v>9.6927078971105445</v>
          </cell>
          <cell r="G246">
            <v>9.3330224768603163</v>
          </cell>
          <cell r="H246">
            <v>11.900424538473718</v>
          </cell>
          <cell r="I246">
            <v>13.177229368626371</v>
          </cell>
          <cell r="J246">
            <v>16.927198470372861</v>
          </cell>
        </row>
        <row r="247">
          <cell r="A247" t="str">
            <v>SOLPVC</v>
          </cell>
          <cell r="B247" t="str">
            <v>VAR_fin</v>
          </cell>
          <cell r="C247" t="str">
            <v>ESOL-PV_E</v>
          </cell>
          <cell r="H247">
            <v>2.4603535026446199E-6</v>
          </cell>
          <cell r="I247">
            <v>0.66333214033677601</v>
          </cell>
          <cell r="J247">
            <v>1.86703288750602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1.73712537117881E-2</v>
          </cell>
          <cell r="E4">
            <v>1.80268412024377E-2</v>
          </cell>
          <cell r="F4">
            <v>1.7922314475334E-2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4.3023669630719817E-3</v>
          </cell>
          <cell r="E5">
            <v>3.5756418759585753E-3</v>
          </cell>
          <cell r="F5">
            <v>2.2289986068891867E-3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3.0800095233666765E-4</v>
          </cell>
          <cell r="E6">
            <v>3.1962484401485314E-4</v>
          </cell>
          <cell r="F6">
            <v>3.177715332506028E-4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4.1733541394893579E-5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3.3009644584539664</v>
          </cell>
          <cell r="E8">
            <v>0.65902791754287149</v>
          </cell>
          <cell r="F8">
            <v>0.71138195036463858</v>
          </cell>
          <cell r="G8">
            <v>6.204844817639802E-2</v>
          </cell>
          <cell r="H8">
            <v>7.3899686555665201E-2</v>
          </cell>
          <cell r="I8">
            <v>6.6125110587606117E-2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6.0414470171092109E-3</v>
          </cell>
          <cell r="E9">
            <v>1.2098885963205278E-3</v>
          </cell>
          <cell r="F9">
            <v>1.3125442842405425E-3</v>
          </cell>
          <cell r="G9">
            <v>1.2148564822578824E-4</v>
          </cell>
          <cell r="H9">
            <v>1.5579556493884808E-4</v>
          </cell>
          <cell r="I9">
            <v>1.5063054186667242E-4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5.8527738625070304E-2</v>
          </cell>
          <cell r="E10">
            <v>1.168489215501544E-2</v>
          </cell>
          <cell r="F10">
            <v>1.2613155148309211E-2</v>
          </cell>
          <cell r="G10">
            <v>1.1001497903616673E-3</v>
          </cell>
          <cell r="H10">
            <v>1.3102781304195953E-3</v>
          </cell>
          <cell r="I10">
            <v>1.1724310387873425E-3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2.41952503568261E-6</v>
          </cell>
          <cell r="F11">
            <v>3.5263529391162598E-6</v>
          </cell>
          <cell r="G11">
            <v>2.69135542150127E-6</v>
          </cell>
          <cell r="H11">
            <v>1.8459004639108599E-6</v>
          </cell>
          <cell r="I11">
            <v>3.0079869930713701E-6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1.190774269513535E-4</v>
          </cell>
          <cell r="E12">
            <v>2.789540953427161E-5</v>
          </cell>
          <cell r="F12">
            <v>2.7144853470517773E-5</v>
          </cell>
          <cell r="G12">
            <v>3.1506562668653193E-6</v>
          </cell>
          <cell r="H12">
            <v>3.296095929121783E-6</v>
          </cell>
          <cell r="I12">
            <v>3.3319215482719099E-6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2.2999341256347102E-4</v>
          </cell>
          <cell r="E13">
            <v>6.4009758276911896E-3</v>
          </cell>
          <cell r="F13">
            <v>6.9742904449058086E-3</v>
          </cell>
          <cell r="G13">
            <v>5.8926346203978494E-5</v>
          </cell>
          <cell r="H13">
            <v>1.1465172314474654E-2</v>
          </cell>
          <cell r="I13">
            <v>7.7034317142882173E-3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2.2999341256347102E-4</v>
          </cell>
          <cell r="E14">
            <v>6.4009758276911896E-3</v>
          </cell>
          <cell r="F14">
            <v>6.9742904449058086E-3</v>
          </cell>
          <cell r="G14">
            <v>5.8926346203978494E-5</v>
          </cell>
          <cell r="H14">
            <v>1.1465172314474654E-2</v>
          </cell>
          <cell r="I14">
            <v>7.7034317142882173E-3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6.7291904785245096E-4</v>
          </cell>
          <cell r="F15">
            <v>3.8176988950053601E-4</v>
          </cell>
          <cell r="G15">
            <v>2.6761585806762198E-6</v>
          </cell>
          <cell r="H15">
            <v>6.6727271974474601E-4</v>
          </cell>
          <cell r="I15">
            <v>5.7957382797459102E-4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2.5968471726187025E-5</v>
          </cell>
          <cell r="E16">
            <v>6.8974509112574103E-4</v>
          </cell>
          <cell r="F16">
            <v>1.0276155961629059E-3</v>
          </cell>
          <cell r="G16">
            <v>6.3818637287587276E-6</v>
          </cell>
          <cell r="H16">
            <v>1.7044613458341929E-3</v>
          </cell>
          <cell r="I16">
            <v>1.1434808408175815E-3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2.5608390306649559E-3</v>
          </cell>
          <cell r="E17">
            <v>6.823303456054362E-3</v>
          </cell>
          <cell r="F17">
            <v>7.9005992502670947E-3</v>
          </cell>
          <cell r="G17">
            <v>5.8750951122465901E-2</v>
          </cell>
          <cell r="H17">
            <v>8.6693852228664874E-3</v>
          </cell>
          <cell r="I17">
            <v>2.5084611258653271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9.5294918209072443E-3</v>
          </cell>
          <cell r="E18">
            <v>2.5222140320135023E-2</v>
          </cell>
          <cell r="F18">
            <v>2.8971472197989807E-2</v>
          </cell>
          <cell r="G18">
            <v>0.20131302981281565</v>
          </cell>
          <cell r="H18">
            <v>2.7651972571422503E-2</v>
          </cell>
          <cell r="I18">
            <v>7.3907549892765561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1.9571660485605999E-5</v>
          </cell>
          <cell r="F19">
            <v>3.3374663623553898E-5</v>
          </cell>
          <cell r="G19">
            <v>1.05362078314727E-3</v>
          </cell>
          <cell r="H19">
            <v>1.2127579729492499E-4</v>
          </cell>
          <cell r="I19">
            <v>4.7887084383511101E-2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5.1957810361589353E-5</v>
          </cell>
          <cell r="E20">
            <v>1.3140884588373064E-4</v>
          </cell>
          <cell r="F20">
            <v>1.572881813211227E-4</v>
          </cell>
          <cell r="G20">
            <v>1.1051526514910689E-3</v>
          </cell>
          <cell r="H20">
            <v>1.7286167475899579E-4</v>
          </cell>
          <cell r="I20">
            <v>4.7908359462422709E-2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5.1754587070521982E-2</v>
          </cell>
          <cell r="E21">
            <v>0.10012004191345671</v>
          </cell>
          <cell r="F21">
            <v>0.15589112838534672</v>
          </cell>
          <cell r="G21">
            <v>4.2797217776022805E-5</v>
          </cell>
          <cell r="H21">
            <v>2.0574387424310125</v>
          </cell>
          <cell r="I21">
            <v>0.61464795459863653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5.1754587070521982E-2</v>
          </cell>
          <cell r="E22">
            <v>0.10012004191345671</v>
          </cell>
          <cell r="F22">
            <v>0.15589112838534672</v>
          </cell>
          <cell r="G22">
            <v>4.2797217776022805E-5</v>
          </cell>
          <cell r="H22">
            <v>2.0574387424310125</v>
          </cell>
          <cell r="I22">
            <v>0.61464795459863653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1.4219107449495099E-4</v>
          </cell>
          <cell r="F23">
            <v>4.6113247735548998E-3</v>
          </cell>
          <cell r="G23">
            <v>6.3252069386754202E-7</v>
          </cell>
          <cell r="H23">
            <v>1.34668795545486E-3</v>
          </cell>
          <cell r="I23">
            <v>1.28127387680646E-3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4.8817763383861273E-3</v>
          </cell>
          <cell r="E24">
            <v>7.6057592302214878E-3</v>
          </cell>
          <cell r="F24">
            <v>1.1876111434062189E-2</v>
          </cell>
          <cell r="G24">
            <v>6.1275301917011749E-7</v>
          </cell>
          <cell r="H24">
            <v>0.21618666074522289</v>
          </cell>
          <cell r="I24">
            <v>6.4750967134411808E-2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10.91643781636521</v>
          </cell>
          <cell r="E25">
            <v>13.87802114093188</v>
          </cell>
          <cell r="F25">
            <v>19.332838292411026</v>
          </cell>
          <cell r="G25">
            <v>36.60618248578421</v>
          </cell>
          <cell r="H25">
            <v>51.11450135673428</v>
          </cell>
          <cell r="I25">
            <v>65.825601298826626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3.9692937710482358E-2</v>
          </cell>
          <cell r="E26">
            <v>1.7907120820337734E-2</v>
          </cell>
          <cell r="F26">
            <v>1.9333704528682591E-2</v>
          </cell>
          <cell r="G26">
            <v>0.75715316726576909</v>
          </cell>
          <cell r="H26">
            <v>1.6642502503899537</v>
          </cell>
          <cell r="I26">
            <v>6.1751026409098122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4.5519588789950172</v>
          </cell>
          <cell r="E27">
            <v>0.19534300203551894</v>
          </cell>
          <cell r="F27">
            <v>0.69400044400760907</v>
          </cell>
          <cell r="G27">
            <v>2.9634096109863927E-3</v>
          </cell>
          <cell r="H27">
            <v>9.6833370213483843</v>
          </cell>
          <cell r="I27">
            <v>18.930417852483529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3.0936157270910227</v>
          </cell>
          <cell r="E28">
            <v>0.14041773783435443</v>
          </cell>
          <cell r="F28">
            <v>0.43970481180389021</v>
          </cell>
          <cell r="G28">
            <v>2.7502154285011702E-3</v>
          </cell>
          <cell r="H28">
            <v>3.8818938021835141</v>
          </cell>
          <cell r="I28">
            <v>9.0389590376913898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3.2311702725686828</v>
          </cell>
          <cell r="E29">
            <v>13.524436974212364</v>
          </cell>
          <cell r="F29">
            <v>18.179969070271333</v>
          </cell>
          <cell r="G29">
            <v>35.843366333516727</v>
          </cell>
          <cell r="H29">
            <v>35.885024146749437</v>
          </cell>
          <cell r="I29">
            <v>31.681165552225572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4.4785422450065809E-2</v>
          </cell>
          <cell r="E30">
            <v>0.13714348899330819</v>
          </cell>
          <cell r="F30">
            <v>0.12972269591052007</v>
          </cell>
          <cell r="G30">
            <v>9.9660269138388867E-5</v>
          </cell>
          <cell r="H30">
            <v>4.3279866538420784</v>
          </cell>
          <cell r="I30">
            <v>8.4682842422614542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4.4785422450065809E-2</v>
          </cell>
          <cell r="E31">
            <v>0.13714348899330819</v>
          </cell>
          <cell r="F31">
            <v>0.12972269591052007</v>
          </cell>
          <cell r="G31">
            <v>9.9660269138388867E-5</v>
          </cell>
          <cell r="H31">
            <v>4.3279866538420784</v>
          </cell>
          <cell r="I31">
            <v>8.4682842422614542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9.7613035933209901E-5</v>
          </cell>
          <cell r="F32">
            <v>1.9861618438537799E-4</v>
          </cell>
          <cell r="G32">
            <v>3.2720858530250402E-6</v>
          </cell>
          <cell r="H32">
            <v>0.304971369093333</v>
          </cell>
          <cell r="I32">
            <v>0.50120176317299803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4.0617675522718749E-3</v>
          </cell>
          <cell r="E33">
            <v>9.5250098146911089E-3</v>
          </cell>
          <cell r="F33">
            <v>9.2439115308248637E-3</v>
          </cell>
          <cell r="G33">
            <v>2.743325795178525E-6</v>
          </cell>
          <cell r="H33">
            <v>0.2977660836012393</v>
          </cell>
          <cell r="I33">
            <v>0.58349158886328034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1.6240672239868779E-5</v>
          </cell>
          <cell r="E34">
            <v>9.9203715147365319E-3</v>
          </cell>
          <cell r="F34">
            <v>1.1525719617384101E-2</v>
          </cell>
          <cell r="G34">
            <v>2.3059681915737199E-5</v>
          </cell>
          <cell r="H34">
            <v>1.1434392951931296E-2</v>
          </cell>
          <cell r="I34">
            <v>7.6813024142314418E-3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1.6240672239868779E-5</v>
          </cell>
          <cell r="E35">
            <v>9.9203715147365319E-3</v>
          </cell>
          <cell r="F35">
            <v>1.1525719617384101E-2</v>
          </cell>
          <cell r="G35">
            <v>2.3059681915737199E-5</v>
          </cell>
          <cell r="H35">
            <v>1.1434392951931296E-2</v>
          </cell>
          <cell r="I35">
            <v>7.6813024142314418E-3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1.0764287334896401E-3</v>
          </cell>
          <cell r="F36">
            <v>7.3198049175837005E-4</v>
          </cell>
          <cell r="G36">
            <v>2.47637528496864E-6</v>
          </cell>
          <cell r="H36">
            <v>6.7622366080453695E-4</v>
          </cell>
          <cell r="I36">
            <v>5.7497538120044299E-4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1.06361807530825E-3</v>
          </cell>
          <cell r="F37">
            <v>1.7245530578558087E-3</v>
          </cell>
          <cell r="G37">
            <v>2.6743748873564368E-6</v>
          </cell>
          <cell r="H37">
            <v>1.7003022769430075E-3</v>
          </cell>
          <cell r="I37">
            <v>1.140368942897755E-3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8.0662213819074569E-2</v>
          </cell>
          <cell r="E38">
            <v>0.17522708703591808</v>
          </cell>
          <cell r="F38">
            <v>0.17649749900852776</v>
          </cell>
          <cell r="G38">
            <v>6.7608595130609771E-5</v>
          </cell>
          <cell r="H38">
            <v>9.2035377506737681E-2</v>
          </cell>
          <cell r="I38">
            <v>4.8188838905668441E-2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8.0662213819074569E-2</v>
          </cell>
          <cell r="E39">
            <v>0.17522708703591808</v>
          </cell>
          <cell r="F39">
            <v>0.17649749900852776</v>
          </cell>
          <cell r="G39">
            <v>6.7608595130609771E-5</v>
          </cell>
          <cell r="H39">
            <v>9.2035377506737681E-2</v>
          </cell>
          <cell r="I39">
            <v>4.8188838905668441E-2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1.4004374744173199E-3</v>
          </cell>
          <cell r="F40">
            <v>8.1049886358328896E-4</v>
          </cell>
          <cell r="G40">
            <v>2.9127271078124599E-6</v>
          </cell>
          <cell r="H40">
            <v>1.9439814023353599E-3</v>
          </cell>
          <cell r="I40">
            <v>2.1871916015867598E-3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7.2590371435380828E-3</v>
          </cell>
          <cell r="E41">
            <v>1.3837528862258008E-2</v>
          </cell>
          <cell r="F41">
            <v>1.4044119165843931E-2</v>
          </cell>
          <cell r="G41">
            <v>2.7129271217805895E-6</v>
          </cell>
          <cell r="H41">
            <v>9.7618027934226539E-3</v>
          </cell>
          <cell r="I41">
            <v>5.1634792112774915E-3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1.1620052498730392E-5</v>
          </cell>
          <cell r="E42">
            <v>3.0468089235096145E-3</v>
          </cell>
          <cell r="F42">
            <v>1.2897556830675321</v>
          </cell>
          <cell r="G42">
            <v>2.2791900178696472E-5</v>
          </cell>
          <cell r="H42">
            <v>1.4244893239222982</v>
          </cell>
          <cell r="I42">
            <v>0.4310794720197702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1.1620052498730392E-5</v>
          </cell>
          <cell r="E43">
            <v>3.0468089235096145E-3</v>
          </cell>
          <cell r="F43">
            <v>1.2897556830675321</v>
          </cell>
          <cell r="G43">
            <v>2.2791900178696472E-5</v>
          </cell>
          <cell r="H43">
            <v>1.4244893239222982</v>
          </cell>
          <cell r="I43">
            <v>0.4310794720197702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2.3505685212002101E-4</v>
          </cell>
          <cell r="F44">
            <v>9.8974052749878499E-2</v>
          </cell>
          <cell r="G44">
            <v>5.4496506673831604E-7</v>
          </cell>
          <cell r="H44">
            <v>1.30803246838868E-3</v>
          </cell>
          <cell r="I44">
            <v>1.2972730315650399E-3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2.3217781835496907E-4</v>
          </cell>
          <cell r="F45">
            <v>9.7875245974432035E-2</v>
          </cell>
          <cell r="G45">
            <v>7.4967097224432067E-7</v>
          </cell>
          <cell r="H45">
            <v>0.15010843928421894</v>
          </cell>
          <cell r="I45">
            <v>4.5391176556263638E-2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0.22017045262536084</v>
          </cell>
          <cell r="H46">
            <v>0.24502563722589676</v>
          </cell>
          <cell r="I46">
            <v>0.26340107396293244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8.711809997176081</v>
          </cell>
          <cell r="H47">
            <v>9.7093219886090889</v>
          </cell>
          <cell r="I47">
            <v>10.452588275482805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4.4025511232350601E-5</v>
          </cell>
          <cell r="E48">
            <v>5.4050573895382598E-5</v>
          </cell>
          <cell r="F48">
            <v>8.1082547541114195E-5</v>
          </cell>
          <cell r="G48">
            <v>1.3513724688674601E-4</v>
          </cell>
          <cell r="H48">
            <v>1.3344481664782801E-4</v>
          </cell>
          <cell r="I48">
            <v>1.28034886497397E-3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2.0938280090975307E-3</v>
          </cell>
          <cell r="E49">
            <v>2.1478785829929133E-3</v>
          </cell>
          <cell r="F49">
            <v>2.228961130534027E-3</v>
          </cell>
          <cell r="G49">
            <v>2.3640983774207741E-3</v>
          </cell>
          <cell r="H49">
            <v>2.6309947025436181E-3</v>
          </cell>
          <cell r="I49">
            <v>2.8283011444090993E-3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1.0766474485396058E-4</v>
          </cell>
          <cell r="E50">
            <v>2.3498191402764866E-3</v>
          </cell>
          <cell r="F50">
            <v>7.0552176515919782E-3</v>
          </cell>
          <cell r="G50">
            <v>8.1208036386351979E-5</v>
          </cell>
          <cell r="H50">
            <v>3.0202360231527972</v>
          </cell>
          <cell r="I50">
            <v>5.8968935793776343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1.0766474485396058E-4</v>
          </cell>
          <cell r="E51">
            <v>2.3498191402764866E-3</v>
          </cell>
          <cell r="F51">
            <v>7.0552176515919782E-3</v>
          </cell>
          <cell r="G51">
            <v>8.1208036386351979E-5</v>
          </cell>
          <cell r="H51">
            <v>3.0202360231527972</v>
          </cell>
          <cell r="I51">
            <v>5.8968935793776343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1.6821593581129899E-4</v>
          </cell>
          <cell r="F52">
            <v>3.7613020558153798E-4</v>
          </cell>
          <cell r="G52">
            <v>2.18722022651847E-6</v>
          </cell>
          <cell r="H52">
            <v>0.21239909290709</v>
          </cell>
          <cell r="I52">
            <v>0.350876928370212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1.6997853457525073E-4</v>
          </cell>
          <cell r="F53">
            <v>5.3137977070718591E-4</v>
          </cell>
          <cell r="G53">
            <v>2.430924046200331E-6</v>
          </cell>
          <cell r="H53">
            <v>0.20785610907347316</v>
          </cell>
          <cell r="I53">
            <v>0.40806187006365846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2.9542956487576357E-3</v>
          </cell>
          <cell r="E54">
            <v>0.49935570943661378</v>
          </cell>
          <cell r="F54">
            <v>0.49268292178128881</v>
          </cell>
          <cell r="G54">
            <v>5.8165901689792591E-5</v>
          </cell>
          <cell r="H54">
            <v>7.2935975183463092E-2</v>
          </cell>
          <cell r="I54">
            <v>4.3362353382023447E-2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2.9542956487576357E-3</v>
          </cell>
          <cell r="E55">
            <v>0.49935570943661378</v>
          </cell>
          <cell r="F55">
            <v>0.49268292178128881</v>
          </cell>
          <cell r="G55">
            <v>5.8165901689792591E-5</v>
          </cell>
          <cell r="H55">
            <v>7.2935975183463092E-2</v>
          </cell>
          <cell r="I55">
            <v>4.3362353382023447E-2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3.9183023259087103E-2</v>
          </cell>
          <cell r="F56">
            <v>1.8115556646707801E-3</v>
          </cell>
          <cell r="G56">
            <v>2.25846721626758E-6</v>
          </cell>
          <cell r="H56">
            <v>1.8887611408677E-3</v>
          </cell>
          <cell r="I56">
            <v>2.2733370918458199E-3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2.5889327754509319E-4</v>
          </cell>
          <cell r="E57">
            <v>3.9339255611984168E-2</v>
          </cell>
          <cell r="F57">
            <v>3.8888221591382464E-2</v>
          </cell>
          <cell r="G57">
            <v>1.9679122370899749E-6</v>
          </cell>
          <cell r="H57">
            <v>7.7402153195056788E-3</v>
          </cell>
          <cell r="I57">
            <v>4.6322364926348492E-3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H58">
            <v>6.3012927782688335E-5</v>
          </cell>
          <cell r="I58">
            <v>4.2035659222987217E-4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H59">
            <v>2.4541829846044723E-4</v>
          </cell>
          <cell r="I59">
            <v>1.3959378036574987E-3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1.12609407033992E-6</v>
          </cell>
          <cell r="H60">
            <v>6.5677600051257297E-7</v>
          </cell>
          <cell r="I60">
            <v>8.5832861764067997E-6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1.12609407033992E-6</v>
          </cell>
          <cell r="H61">
            <v>1.3563374101581739E-6</v>
          </cell>
          <cell r="I61">
            <v>9.0387960425228425E-6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2.3120280236004894E-4</v>
          </cell>
          <cell r="E62">
            <v>5.7526660909185652E-3</v>
          </cell>
          <cell r="F62">
            <v>6.1049949407927474E-3</v>
          </cell>
          <cell r="G62">
            <v>5.9587465351746067E-5</v>
          </cell>
          <cell r="H62">
            <v>7.4832589720466372E-3</v>
          </cell>
          <cell r="I62">
            <v>3.7300780677763938E-3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2.39078308496346E-2</v>
          </cell>
          <cell r="E63">
            <v>0.59486202776179997</v>
          </cell>
          <cell r="F63">
            <v>0.63129505738018932</v>
          </cell>
          <cell r="G63">
            <v>6.1617204802279406E-3</v>
          </cell>
          <cell r="H63">
            <v>0.7158382912117327</v>
          </cell>
          <cell r="I63">
            <v>0.3276309604009644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3.2395434755602427E-4</v>
          </cell>
          <cell r="E64">
            <v>8.060461080783201E-3</v>
          </cell>
          <cell r="F64">
            <v>8.5541335688372501E-3</v>
          </cell>
          <cell r="G64">
            <v>8.3492147428562705E-5</v>
          </cell>
          <cell r="H64">
            <v>9.6997058429774095E-3</v>
          </cell>
          <cell r="I64">
            <v>4.4394439078721485E-3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H65">
            <v>3.4512993113716254E-5</v>
          </cell>
          <cell r="I65">
            <v>3.0350107860714669E-4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H66">
            <v>1.8436806672056264E-4</v>
          </cell>
          <cell r="I66">
            <v>1.3988021695370419E-3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6.4609920613047502E-8</v>
          </cell>
          <cell r="H67">
            <v>3.4947490150935099E-7</v>
          </cell>
          <cell r="I67">
            <v>5.6826888576818797E-6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6.4609920613047502E-8</v>
          </cell>
          <cell r="H68">
            <v>5.50826096813027E-7</v>
          </cell>
          <cell r="I68">
            <v>5.9239835660678518E-6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5.8132922904476203</v>
          </cell>
          <cell r="E69">
            <v>11.12310742452917</v>
          </cell>
          <cell r="F69">
            <v>17.229031608721119</v>
          </cell>
          <cell r="G69">
            <v>3.2038804749765391E-3</v>
          </cell>
          <cell r="H69">
            <v>141.232455400818</v>
          </cell>
          <cell r="I69">
            <v>26.210964678784695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4.6161017674572792E-2</v>
          </cell>
          <cell r="E70">
            <v>8.8324125601523293E-2</v>
          </cell>
          <cell r="F70">
            <v>0.1368088155334625</v>
          </cell>
          <cell r="G70">
            <v>2.54407271892435E-5</v>
          </cell>
          <cell r="H70">
            <v>1.254159630506966</v>
          </cell>
          <cell r="I70">
            <v>0.26059287555836325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7.8770898244547832E-2</v>
          </cell>
          <cell r="E71">
            <v>0.15071961279849808</v>
          </cell>
          <cell r="F71">
            <v>0.23345571285529981</v>
          </cell>
          <cell r="G71">
            <v>4.3413014566077761E-5</v>
          </cell>
          <cell r="H71">
            <v>1.9137189078701635</v>
          </cell>
          <cell r="I71">
            <v>0.35516212301876282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H72">
            <v>2.761812419075484E-5</v>
          </cell>
          <cell r="I72">
            <v>3.5942946311914604E-4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H73">
            <v>2.1762846408906387E-4</v>
          </cell>
          <cell r="I73">
            <v>2.4598692146645777E-3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H74">
            <v>2.46516859694808E-7</v>
          </cell>
          <cell r="I74">
            <v>6.69311573750467E-6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H75">
            <v>3.3992449821124006E-7</v>
          </cell>
          <cell r="I75">
            <v>6.7775529996308401E-6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9.1319739917627703E-4</v>
          </cell>
          <cell r="F76">
            <v>1.278033423809975E-3</v>
          </cell>
          <cell r="G76">
            <v>5.5593400096413809E-3</v>
          </cell>
          <cell r="H76">
            <v>1.3453853271056509E-2</v>
          </cell>
          <cell r="I76">
            <v>1.641414748764105E-2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9.1319739917627681E-4</v>
          </cell>
          <cell r="F77">
            <v>1.278033423809975E-3</v>
          </cell>
          <cell r="G77">
            <v>5.5593400096413791E-3</v>
          </cell>
          <cell r="H77">
            <v>1.3453853271056507E-2</v>
          </cell>
          <cell r="I77">
            <v>1.641414748764105E-2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9.253854612370449E-4</v>
          </cell>
          <cell r="F78">
            <v>1.308077232583243E-3</v>
          </cell>
          <cell r="G78">
            <v>5.5923536826722967E-3</v>
          </cell>
          <cell r="H78">
            <v>1.3472844552224014E-2</v>
          </cell>
          <cell r="I78">
            <v>1.6429841402938468E-2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9.253854612370449E-4</v>
          </cell>
          <cell r="F79">
            <v>1.308077232583243E-3</v>
          </cell>
          <cell r="G79">
            <v>5.5923536826722967E-3</v>
          </cell>
          <cell r="H79">
            <v>1.3472844552224014E-2</v>
          </cell>
          <cell r="I79">
            <v>1.6429841402938468E-2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7.7677314352579394E-2</v>
          </cell>
          <cell r="F80">
            <v>5.0614180991675299E-2</v>
          </cell>
          <cell r="G80">
            <v>1.89051675974993E-4</v>
          </cell>
          <cell r="H80">
            <v>5.8162036745391901E-2</v>
          </cell>
          <cell r="I80">
            <v>4.7667426436267597E-2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7.7677314352579394E-2</v>
          </cell>
          <cell r="F81">
            <v>0.12825565400059652</v>
          </cell>
          <cell r="G81">
            <v>0.12836918259444163</v>
          </cell>
          <cell r="H81">
            <v>0.17684878841686771</v>
          </cell>
          <cell r="I81">
            <v>0.13614421126564819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6.0585635840898098</v>
          </cell>
          <cell r="E82">
            <v>17.940255743619389</v>
          </cell>
          <cell r="F82">
            <v>16.13450691113972</v>
          </cell>
          <cell r="G82">
            <v>6.2184425398517026E-3</v>
          </cell>
          <cell r="H82">
            <v>272.33676885277953</v>
          </cell>
          <cell r="I82">
            <v>308.8900136011124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4.4785471604292304E-2</v>
          </cell>
          <cell r="E83">
            <v>0.13261605709471394</v>
          </cell>
          <cell r="F83">
            <v>0.11926779195908409</v>
          </cell>
          <cell r="G83">
            <v>4.5967311876168237E-5</v>
          </cell>
          <cell r="H83">
            <v>2.2526873099250913</v>
          </cell>
          <cell r="I83">
            <v>2.865106191993791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8.2094357507991975E-2</v>
          </cell>
          <cell r="E84">
            <v>0.24309289625500524</v>
          </cell>
          <cell r="F84">
            <v>0.21862475489349206</v>
          </cell>
          <cell r="G84">
            <v>8.4260739022380695E-5</v>
          </cell>
          <cell r="H84">
            <v>3.6902001199563683</v>
          </cell>
          <cell r="I84">
            <v>4.185501539310466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H85">
            <v>1.2375907234297061E-5</v>
          </cell>
          <cell r="I85">
            <v>1.3861530890840757E-5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H86">
            <v>1.4611981316158795E-4</v>
          </cell>
          <cell r="I86">
            <v>1.4391731083449917E-4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H87">
            <v>6.1896016793827505E-8</v>
          </cell>
          <cell r="I87">
            <v>1.7472642936212701E-7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H88">
            <v>7.225705268569878E-8</v>
          </cell>
          <cell r="I88">
            <v>1.8558847694312901E-7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3.7153431243899578E-3</v>
          </cell>
          <cell r="E89">
            <v>8.0835716828062884E-3</v>
          </cell>
          <cell r="F89">
            <v>3.6702147903049653E-2</v>
          </cell>
          <cell r="G89">
            <v>1.5335775003489734E-2</v>
          </cell>
          <cell r="H89">
            <v>0.78583782493126431</v>
          </cell>
          <cell r="I89">
            <v>0.33480769232053259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3.7153431243899578E-3</v>
          </cell>
          <cell r="E90">
            <v>8.0835716828062884E-3</v>
          </cell>
          <cell r="F90">
            <v>3.6702147903049639E-2</v>
          </cell>
          <cell r="G90">
            <v>1.5335775003489732E-2</v>
          </cell>
          <cell r="H90">
            <v>0.78583782493126431</v>
          </cell>
          <cell r="I90">
            <v>0.33480769232053259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3.7213848807741154E-3</v>
          </cell>
          <cell r="E91">
            <v>8.1133028090241942E-3</v>
          </cell>
          <cell r="F91">
            <v>3.6744060705971658E-2</v>
          </cell>
          <cell r="G91">
            <v>1.5384549125102514E-2</v>
          </cell>
          <cell r="H91">
            <v>0.78594304918822666</v>
          </cell>
          <cell r="I91">
            <v>0.33486922268127833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3.7213848807741154E-3</v>
          </cell>
          <cell r="E92">
            <v>8.1133028090241942E-3</v>
          </cell>
          <cell r="F92">
            <v>3.6744060705971658E-2</v>
          </cell>
          <cell r="G92">
            <v>1.5384549125102514E-2</v>
          </cell>
          <cell r="H92">
            <v>0.78594304918822666</v>
          </cell>
          <cell r="I92">
            <v>0.33486922268127833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0.15414705743085599</v>
          </cell>
          <cell r="E93">
            <v>0.13480581606984099</v>
          </cell>
          <cell r="F93">
            <v>0.158403619087674</v>
          </cell>
          <cell r="G93">
            <v>0.13518128767284901</v>
          </cell>
          <cell r="H93">
            <v>0.39740561343634401</v>
          </cell>
          <cell r="I93">
            <v>2.6367798654108401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0.15414705743085599</v>
          </cell>
          <cell r="E94">
            <v>0.28888851007513339</v>
          </cell>
          <cell r="F94">
            <v>0.44712969449670353</v>
          </cell>
          <cell r="G94">
            <v>0.58192674520938026</v>
          </cell>
          <cell r="H94">
            <v>0.96952410244375808</v>
          </cell>
          <cell r="I94">
            <v>3.116146538285304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11.453210719309</v>
          </cell>
          <cell r="E95">
            <v>21.2012048061526</v>
          </cell>
          <cell r="F95">
            <v>20.574150280931612</v>
          </cell>
          <cell r="G95">
            <v>5.8681874887474735E-3</v>
          </cell>
          <cell r="H95">
            <v>6.4932676063992885</v>
          </cell>
          <cell r="I95">
            <v>2.0826210779365368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8.0662213819074499E-2</v>
          </cell>
          <cell r="E96">
            <v>0.14931499622308989</v>
          </cell>
          <cell r="F96">
            <v>0.14489880172277136</v>
          </cell>
          <cell r="G96">
            <v>4.1328235858767495E-5</v>
          </cell>
          <cell r="H96">
            <v>5.0470182727183989E-2</v>
          </cell>
          <cell r="I96">
            <v>1.7856918894563794E-2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0.15519255717220864</v>
          </cell>
          <cell r="E97">
            <v>0.28727919791534801</v>
          </cell>
          <cell r="F97">
            <v>0.27878252413186488</v>
          </cell>
          <cell r="G97">
            <v>7.9514735619884557E-5</v>
          </cell>
          <cell r="H97">
            <v>8.7984655913269469E-2</v>
          </cell>
          <cell r="I97">
            <v>2.8219797804018034E-2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3.4639529715778583E-3</v>
          </cell>
          <cell r="F98">
            <v>8.361099753889184E-3</v>
          </cell>
          <cell r="G98">
            <v>3.4916172647818369E-3</v>
          </cell>
          <cell r="H98">
            <v>2.2908080458739888</v>
          </cell>
          <cell r="I98">
            <v>5.9360280669102981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3.4639529715778574E-3</v>
          </cell>
          <cell r="F99">
            <v>8.3610997538891823E-3</v>
          </cell>
          <cell r="G99">
            <v>3.491617264781836E-3</v>
          </cell>
          <cell r="H99">
            <v>2.2908080458739888</v>
          </cell>
          <cell r="I99">
            <v>5.9360280669102972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3.4750297556837674E-3</v>
          </cell>
          <cell r="F100">
            <v>8.3866516992234449E-3</v>
          </cell>
          <cell r="G100">
            <v>3.5309390534145192E-3</v>
          </cell>
          <cell r="H100">
            <v>2.2910565611442868</v>
          </cell>
          <cell r="I100">
            <v>5.9366440492262038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3.4750297556837674E-3</v>
          </cell>
          <cell r="F101">
            <v>8.3866516992234449E-3</v>
          </cell>
          <cell r="G101">
            <v>3.5309390534145192E-3</v>
          </cell>
          <cell r="H101">
            <v>2.2910565611442868</v>
          </cell>
          <cell r="I101">
            <v>5.9366440492262038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2.19489690134256E-2</v>
          </cell>
          <cell r="F102">
            <v>5.0311894128930702E-2</v>
          </cell>
          <cell r="G102">
            <v>4.49339614512789E-4</v>
          </cell>
          <cell r="H102">
            <v>42.346806055298401</v>
          </cell>
          <cell r="I102">
            <v>66.606744519861905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2.19489690134256E-2</v>
          </cell>
          <cell r="F103">
            <v>7.2251254192150782E-2</v>
          </cell>
          <cell r="G103">
            <v>7.2661647053349696E-2</v>
          </cell>
          <cell r="H103">
            <v>43.26055216762169</v>
          </cell>
          <cell r="I103">
            <v>96.299056563007468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31.490821308701602</v>
          </cell>
          <cell r="F104">
            <v>471.70374426936945</v>
          </cell>
          <cell r="G104">
            <v>549.22195531835473</v>
          </cell>
          <cell r="H104">
            <v>179.16110554286016</v>
          </cell>
          <cell r="I104">
            <v>138.47565432987528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0.19795293212649112</v>
          </cell>
          <cell r="F105">
            <v>2.9651541431015169</v>
          </cell>
          <cell r="G105">
            <v>3.4524376286582026</v>
          </cell>
          <cell r="H105">
            <v>1.1262159794934601</v>
          </cell>
          <cell r="I105">
            <v>0.87046512804538467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0.42961557037792092</v>
          </cell>
          <cell r="F106">
            <v>6.435248898627135</v>
          </cell>
          <cell r="G106">
            <v>7.4927961162122143</v>
          </cell>
          <cell r="H106">
            <v>2.4442169923991823</v>
          </cell>
          <cell r="I106">
            <v>1.8891630877199914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1.3814219063926001E-2</v>
          </cell>
          <cell r="F107">
            <v>0.20480221747310001</v>
          </cell>
          <cell r="G107">
            <v>0.119585249268871</v>
          </cell>
          <cell r="H107">
            <v>4.2717834551866398E-4</v>
          </cell>
          <cell r="I107">
            <v>7.5453612791318403E-2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1.3814219063926001E-2</v>
          </cell>
          <cell r="F108">
            <v>0.21861633992064541</v>
          </cell>
          <cell r="G108">
            <v>0.33637129448731895</v>
          </cell>
          <cell r="H108">
            <v>8.272344476578701E-2</v>
          </cell>
          <cell r="I108">
            <v>8.6392810757510374E-2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4.8748656802214432E-4</v>
          </cell>
          <cell r="E109">
            <v>2.6012253751280917E-4</v>
          </cell>
          <cell r="F109">
            <v>1.2028025377925596E-4</v>
          </cell>
          <cell r="H109">
            <v>6.7490622456928284E-4</v>
          </cell>
          <cell r="I109">
            <v>7.2642853455369459E-3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2.794280140218733E-3</v>
          </cell>
          <cell r="E110">
            <v>1.4843430723505274E-3</v>
          </cell>
          <cell r="F110">
            <v>6.8217897034630512E-4</v>
          </cell>
          <cell r="H110">
            <v>3.3387450066331898E-3</v>
          </cell>
          <cell r="I110">
            <v>3.3225437316752142E-2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7.6571531019203495E-7</v>
          </cell>
          <cell r="F111">
            <v>4.8185434688276798E-7</v>
          </cell>
          <cell r="H111">
            <v>1.4697529705663599E-5</v>
          </cell>
          <cell r="I111">
            <v>1.4247217883902799E-4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1.1955349631369009E-5</v>
          </cell>
          <cell r="E112">
            <v>5.471234912693636E-6</v>
          </cell>
          <cell r="F112">
            <v>2.5602486316323952E-6</v>
          </cell>
          <cell r="G112">
            <v>3.1851580847210923E-7</v>
          </cell>
          <cell r="H112">
            <v>1.6793387723113012E-5</v>
          </cell>
          <cell r="I112">
            <v>1.4504824595199588E-4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7.4466636366179187E-2</v>
          </cell>
          <cell r="F113">
            <v>8.9432472930966761E-2</v>
          </cell>
          <cell r="G113">
            <v>1.6740596425645782E-2</v>
          </cell>
          <cell r="H113">
            <v>5.5013560912815472E-2</v>
          </cell>
          <cell r="I113">
            <v>8.4167352801966411E-2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7.4466636366179173E-2</v>
          </cell>
          <cell r="F114">
            <v>8.9432472930966747E-2</v>
          </cell>
          <cell r="G114">
            <v>1.6740596425645779E-2</v>
          </cell>
          <cell r="H114">
            <v>5.5013560912815458E-2</v>
          </cell>
          <cell r="I114">
            <v>8.4167352801966411E-2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7.4484541034832361E-2</v>
          </cell>
          <cell r="F115">
            <v>8.9466132824414277E-2</v>
          </cell>
          <cell r="G115">
            <v>1.6779081346790795E-2</v>
          </cell>
          <cell r="H115">
            <v>5.503876351428056E-2</v>
          </cell>
          <cell r="I115">
            <v>8.4190845234670852E-2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7.4484541034832361E-2</v>
          </cell>
          <cell r="F116">
            <v>8.9466132824414277E-2</v>
          </cell>
          <cell r="G116">
            <v>1.6779081346790795E-2</v>
          </cell>
          <cell r="H116">
            <v>5.503876351428056E-2</v>
          </cell>
          <cell r="I116">
            <v>8.4190845234670852E-2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3.6249382580629401</v>
          </cell>
          <cell r="F117">
            <v>0.23074825542873101</v>
          </cell>
          <cell r="G117">
            <v>4.0451910483823298E-4</v>
          </cell>
          <cell r="H117">
            <v>0.31631967816520401</v>
          </cell>
          <cell r="I117">
            <v>0.35214428177991502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3.6249382580629401</v>
          </cell>
          <cell r="F118">
            <v>3.8535910413809162</v>
          </cell>
          <cell r="G118">
            <v>3.8503627524979778</v>
          </cell>
          <cell r="H118">
            <v>1.7257472445756163</v>
          </cell>
          <cell r="I118">
            <v>1.1591665101046886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61.667133351730101</v>
          </cell>
          <cell r="E119">
            <v>129.53733826836699</v>
          </cell>
          <cell r="F119">
            <v>40.404097135289298</v>
          </cell>
          <cell r="G119">
            <v>1.5467731206467699E-3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0.23194801724113981</v>
          </cell>
          <cell r="E120">
            <v>0.49176856601841168</v>
          </cell>
          <cell r="F120">
            <v>0.15551250495184823</v>
          </cell>
          <cell r="G120">
            <v>5.95342006476552E-6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0.83559801289607194</v>
          </cell>
          <cell r="E121">
            <v>1.7552484860212292</v>
          </cell>
          <cell r="F121">
            <v>0.54748099099308001</v>
          </cell>
          <cell r="G121">
            <v>2.0958985374617471E-5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3.063296705327509E-2</v>
          </cell>
          <cell r="G122">
            <v>1.2178914868994639E-6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2.5094675035113083E-2</v>
          </cell>
          <cell r="E123">
            <v>2.6547845601796204E-2</v>
          </cell>
          <cell r="F123">
            <v>2.9128127051469679E-2</v>
          </cell>
          <cell r="G123">
            <v>3.1645620737245091E-2</v>
          </cell>
          <cell r="H123">
            <v>3.387516567537243E-2</v>
          </cell>
          <cell r="I123">
            <v>3.6417783471905614E-2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1.5023124180738976</v>
          </cell>
          <cell r="E124">
            <v>1.5893076146585481</v>
          </cell>
          <cell r="F124">
            <v>1.7437781889356114</v>
          </cell>
          <cell r="G124">
            <v>1.8944899244440823</v>
          </cell>
          <cell r="H124">
            <v>2.0279633821603449</v>
          </cell>
          <cell r="I124">
            <v>2.1801791922795335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1.5271621313813401E-6</v>
          </cell>
          <cell r="E125">
            <v>1.3316328176078899E-4</v>
          </cell>
          <cell r="F125">
            <v>2.3822089222163799E-4</v>
          </cell>
          <cell r="G125">
            <v>2.3214382087329E-4</v>
          </cell>
          <cell r="H125">
            <v>7.2096446739496194E-5</v>
          </cell>
          <cell r="I125">
            <v>1.4947306375652099E-3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2.3181916498145614E-3</v>
          </cell>
          <cell r="E126">
            <v>2.4513549315753501E-3</v>
          </cell>
          <cell r="F126">
            <v>2.6895758237969877E-3</v>
          </cell>
          <cell r="G126">
            <v>2.9217196446702778E-3</v>
          </cell>
          <cell r="H126">
            <v>3.1276898031666399E-3</v>
          </cell>
          <cell r="I126">
            <v>3.3622405921850196E-3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807.99023256681801</v>
          </cell>
          <cell r="E127">
            <v>546.40764109930797</v>
          </cell>
          <cell r="F127">
            <v>398.44476944821997</v>
          </cell>
          <cell r="G127">
            <v>1.0548964096590699E-3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2.855376152448398</v>
          </cell>
          <cell r="E128">
            <v>1.9973134651791149</v>
          </cell>
          <cell r="F128">
            <v>1.529031544835765</v>
          </cell>
          <cell r="G128">
            <v>4.0481642892098041E-6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11.023059107323576</v>
          </cell>
          <cell r="E129">
            <v>7.4544016521051555</v>
          </cell>
          <cell r="F129">
            <v>5.4358085872881308</v>
          </cell>
          <cell r="G129">
            <v>1.4391492628363917E-5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0.15204544000085612</v>
          </cell>
          <cell r="G130">
            <v>2.2994643039675466E-7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0.1956589873962116</v>
          </cell>
          <cell r="E131">
            <v>0.18744957909125656</v>
          </cell>
          <cell r="F131">
            <v>0.18783181900821469</v>
          </cell>
          <cell r="G131">
            <v>1.4159964362762827E-2</v>
          </cell>
          <cell r="H131">
            <v>3.8980289540396014E-2</v>
          </cell>
          <cell r="I131">
            <v>1.12816788927541E-2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2.1371664369988618E-3</v>
          </cell>
          <cell r="E132">
            <v>2.062829196289701E-3</v>
          </cell>
          <cell r="F132">
            <v>2.0327002850434057E-3</v>
          </cell>
          <cell r="G132">
            <v>1.5484546059772166E-4</v>
          </cell>
          <cell r="H132">
            <v>4.2106717715995111E-4</v>
          </cell>
          <cell r="I132">
            <v>1.2228960161295805E-4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3.4691309822023381E-3</v>
          </cell>
          <cell r="E133">
            <v>3.3235740973627101E-3</v>
          </cell>
          <cell r="F133">
            <v>3.3303514008548676E-3</v>
          </cell>
          <cell r="G133">
            <v>2.5106319792132618E-4</v>
          </cell>
          <cell r="H133">
            <v>6.9113988546801468E-4</v>
          </cell>
          <cell r="I133">
            <v>2.0002976760202329E-4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1.7904669270764399E-5</v>
          </cell>
          <cell r="F134">
            <v>4.6973641501314199E-5</v>
          </cell>
          <cell r="G134">
            <v>3.0598503451269299E-6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2.56175165883789E-4</v>
          </cell>
          <cell r="E135">
            <v>2.3192197784349051E-4</v>
          </cell>
          <cell r="F135">
            <v>2.7960967365511872E-4</v>
          </cell>
          <cell r="G135">
            <v>2.09758773611372E-5</v>
          </cell>
          <cell r="H135">
            <v>5.669745364317856E-5</v>
          </cell>
          <cell r="I135">
            <v>1.6117419689928784E-5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0.73717574558638166</v>
          </cell>
          <cell r="E136">
            <v>1.5937424555839748</v>
          </cell>
          <cell r="F136">
            <v>4.4709256372833721</v>
          </cell>
          <cell r="G136">
            <v>14.539980629994789</v>
          </cell>
          <cell r="H136">
            <v>30.854366195461459</v>
          </cell>
          <cell r="I136">
            <v>36.090028890364977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0.73717574558638166</v>
          </cell>
          <cell r="E137">
            <v>1.5937424555839748</v>
          </cell>
          <cell r="F137">
            <v>4.4709256372833721</v>
          </cell>
          <cell r="G137">
            <v>14.539980629994789</v>
          </cell>
          <cell r="H137">
            <v>30.854366195461459</v>
          </cell>
          <cell r="I137">
            <v>36.090028890364977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8.1110173534591195E-6</v>
          </cell>
          <cell r="E138">
            <v>4.17470519685423E-6</v>
          </cell>
          <cell r="F138">
            <v>1.1633174859176201</v>
          </cell>
          <cell r="G138">
            <v>7.3075295794183299</v>
          </cell>
          <cell r="H138">
            <v>11.683057478822001</v>
          </cell>
          <cell r="I138">
            <v>21.885611679647599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1.2762660680754034</v>
          </cell>
          <cell r="E139">
            <v>1.2762702427806003</v>
          </cell>
          <cell r="F139">
            <v>2.4395877286982199</v>
          </cell>
          <cell r="G139">
            <v>9.7471173081165503</v>
          </cell>
          <cell r="H139">
            <v>26.112938944386901</v>
          </cell>
          <cell r="I139">
            <v>34.2698611446421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2.9638138563994381</v>
          </cell>
          <cell r="E140">
            <v>3.2224219207753033</v>
          </cell>
          <cell r="F140">
            <v>3.2849965315549565</v>
          </cell>
          <cell r="G140">
            <v>4.1317018709471139E-2</v>
          </cell>
          <cell r="H140">
            <v>8.3930840328707915E-2</v>
          </cell>
          <cell r="I140">
            <v>2.44536104124249E-2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3.3199800795169251E-2</v>
          </cell>
          <cell r="E141">
            <v>3.5748552053112746E-2</v>
          </cell>
          <cell r="F141">
            <v>3.6084206403912071E-2</v>
          </cell>
          <cell r="G141">
            <v>4.8313589355144848E-4</v>
          </cell>
          <cell r="H141">
            <v>7.2699330431686185E-4</v>
          </cell>
          <cell r="I141">
            <v>2.1216038179146715E-4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5.2549891070912159E-2</v>
          </cell>
          <cell r="E142">
            <v>5.7135140439278406E-2</v>
          </cell>
          <cell r="F142">
            <v>5.8244619353811228E-2</v>
          </cell>
          <cell r="G142">
            <v>7.3257125371402711E-4</v>
          </cell>
          <cell r="H142">
            <v>1.488135466821064E-3</v>
          </cell>
          <cell r="I142">
            <v>4.3357465270256853E-4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1.36639417109081E-5</v>
          </cell>
          <cell r="F143">
            <v>5.0402153155776198E-5</v>
          </cell>
          <cell r="G143">
            <v>1.38041752422538E-6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2.690019301739348E-3</v>
          </cell>
          <cell r="E144">
            <v>2.7576525886500794E-3</v>
          </cell>
          <cell r="F144">
            <v>2.7706231839232441E-3</v>
          </cell>
          <cell r="G144">
            <v>3.7232822861713987E-5</v>
          </cell>
          <cell r="H144">
            <v>6.4495276521019974E-5</v>
          </cell>
          <cell r="I144">
            <v>1.8646184972704994E-5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322.58353047345616</v>
          </cell>
          <cell r="E145">
            <v>384.3213543371084</v>
          </cell>
          <cell r="F145">
            <v>1.2090558668445417</v>
          </cell>
          <cell r="G145">
            <v>2.677436353982075E-2</v>
          </cell>
          <cell r="H145">
            <v>5.3354804662035252E-2</v>
          </cell>
          <cell r="I145">
            <v>5.2182154927423965E-2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1.5056003761112176</v>
          </cell>
          <cell r="E146">
            <v>1.7937505203327051</v>
          </cell>
          <cell r="F146">
            <v>5.6430499262900341E-3</v>
          </cell>
          <cell r="G146">
            <v>1.2496450688764978E-4</v>
          </cell>
          <cell r="H146">
            <v>2.4902391590977686E-4</v>
          </cell>
          <cell r="I146">
            <v>2.4355078503143874E-4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4.4008667186010424</v>
          </cell>
          <cell r="E147">
            <v>5.243128981406656</v>
          </cell>
          <cell r="F147">
            <v>1.649462301288597E-2</v>
          </cell>
          <cell r="G147">
            <v>3.6527098962920525E-4</v>
          </cell>
          <cell r="H147">
            <v>7.2789638010962207E-4</v>
          </cell>
          <cell r="I147">
            <v>7.118984301149238E-4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2.2869378099774001E-5</v>
          </cell>
          <cell r="F148">
            <v>1.21423363749753E-5</v>
          </cell>
          <cell r="G148">
            <v>2.6876281436811801E-6</v>
          </cell>
          <cell r="H148">
            <v>9.8301800366428602E-6</v>
          </cell>
          <cell r="I148">
            <v>1.3413301267112299E-5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0.10616174150485137</v>
          </cell>
          <cell r="E149">
            <v>0.12516939487240744</v>
          </cell>
          <cell r="F149">
            <v>4.5905058670674126E-4</v>
          </cell>
          <cell r="G149">
            <v>1.0470666079967494E-5</v>
          </cell>
          <cell r="H149">
            <v>1.9713363793852806E-5</v>
          </cell>
          <cell r="I149">
            <v>2.0030394191499452E-5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0.2416893431473971</v>
          </cell>
          <cell r="E150">
            <v>0.25068034341256179</v>
          </cell>
          <cell r="F150">
            <v>0.2903800989192149</v>
          </cell>
          <cell r="G150">
            <v>2.8790962824337931E-2</v>
          </cell>
          <cell r="H150">
            <v>0.11192646555423989</v>
          </cell>
          <cell r="I150">
            <v>3.19033921332431E-2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2.0097143939946313E-3</v>
          </cell>
          <cell r="E151">
            <v>2.1202523045612473E-3</v>
          </cell>
          <cell r="F151">
            <v>2.4609745082442322E-3</v>
          </cell>
          <cell r="G151">
            <v>2.5277597116789486E-4</v>
          </cell>
          <cell r="H151">
            <v>9.3162560393649679E-4</v>
          </cell>
          <cell r="I151">
            <v>2.6573387416298276E-4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4.2852720416205053E-3</v>
          </cell>
          <cell r="E152">
            <v>4.4446869399390439E-3</v>
          </cell>
          <cell r="F152">
            <v>5.1485833141704778E-3</v>
          </cell>
          <cell r="G152">
            <v>5.1047806426131109E-4</v>
          </cell>
          <cell r="H152">
            <v>1.9845118006071014E-3</v>
          </cell>
          <cell r="I152">
            <v>5.6566298108587018E-4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1.1184996947489399E-5</v>
          </cell>
          <cell r="F153">
            <v>1.8810128061096901E-5</v>
          </cell>
          <cell r="G153">
            <v>1.28875446519815E-6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1.5102129687590541E-4</v>
          </cell>
          <cell r="E154">
            <v>1.6631259970011517E-4</v>
          </cell>
          <cell r="F154">
            <v>1.8465398216847446E-4</v>
          </cell>
          <cell r="G154">
            <v>1.9123340354700085E-5</v>
          </cell>
          <cell r="H154">
            <v>7.2349828366522344E-5</v>
          </cell>
          <cell r="I154">
            <v>2.0962595715621604E-5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2.671161527967445</v>
          </cell>
          <cell r="E155">
            <v>2.6776777015050164</v>
          </cell>
          <cell r="F155">
            <v>2.6290986436278501</v>
          </cell>
          <cell r="G155">
            <v>0.3765637892386724</v>
          </cell>
          <cell r="H155">
            <v>0.11727662214483765</v>
          </cell>
          <cell r="I155">
            <v>3.37724474176955E-2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3.2333738612070173E-2</v>
          </cell>
          <cell r="E156">
            <v>3.2291325028775998E-2</v>
          </cell>
          <cell r="F156">
            <v>3.1082854229067293E-2</v>
          </cell>
          <cell r="G156">
            <v>4.5397789780689283E-3</v>
          </cell>
          <cell r="H156">
            <v>9.8440289805776086E-4</v>
          </cell>
          <cell r="I156">
            <v>2.8389941806561343E-4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4.7361019999422736E-2</v>
          </cell>
          <cell r="E157">
            <v>4.7476554991223704E-2</v>
          </cell>
          <cell r="F157">
            <v>4.6615224177798863E-2</v>
          </cell>
          <cell r="G157">
            <v>6.6766629297636913E-3</v>
          </cell>
          <cell r="H157">
            <v>2.0793727330645044E-3</v>
          </cell>
          <cell r="I157">
            <v>5.9880225917899961E-4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1.8347193636433401E-5</v>
          </cell>
          <cell r="F158">
            <v>9.8630845733534497E-5</v>
          </cell>
          <cell r="G158">
            <v>1.6223919381026201E-6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2.6074482428115001E-3</v>
          </cell>
          <cell r="E159">
            <v>2.5495631758091267E-3</v>
          </cell>
          <cell r="F159">
            <v>2.4709020710199799E-3</v>
          </cell>
          <cell r="G159">
            <v>3.57440633848793E-4</v>
          </cell>
          <cell r="H159">
            <v>9.0558047423944501E-5</v>
          </cell>
          <cell r="I159">
            <v>2.6262110722735536E-5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1.8200723017628201E-3</v>
          </cell>
          <cell r="F160">
            <v>3.18039884617051E-3</v>
          </cell>
          <cell r="G160">
            <v>2.3743043727059557E-2</v>
          </cell>
          <cell r="H160">
            <v>1.6779397628950921E-2</v>
          </cell>
          <cell r="I160">
            <v>2.8461020598136788E-3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1.2784313039340353E-5</v>
          </cell>
          <cell r="F161">
            <v>2.3018283093523133E-5</v>
          </cell>
          <cell r="G161">
            <v>1.9427484658473702E-4</v>
          </cell>
          <cell r="H161">
            <v>1.481593084158614E-4</v>
          </cell>
          <cell r="I161">
            <v>2.82507870619558E-5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2.4662226311149354E-5</v>
          </cell>
          <cell r="F162">
            <v>4.3094835313963633E-5</v>
          </cell>
          <cell r="G162">
            <v>3.2172145971625472E-4</v>
          </cell>
          <cell r="H162">
            <v>2.2736311150340011E-4</v>
          </cell>
          <cell r="I162">
            <v>3.8565068561160988E-5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1.3287230166592601E-6</v>
          </cell>
          <cell r="F163">
            <v>1.1271282787708699E-6</v>
          </cell>
          <cell r="G163">
            <v>2.8951111287879798E-5</v>
          </cell>
          <cell r="H163">
            <v>5.1264320942435799E-6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1.3110335266102901E-6</v>
          </cell>
          <cell r="F164">
            <v>2.3481143448426E-6</v>
          </cell>
          <cell r="G164">
            <v>2.9419657355222299E-5</v>
          </cell>
          <cell r="H164">
            <v>1.84032879510207E-5</v>
          </cell>
          <cell r="I164">
            <v>3.2665877358583102E-6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2.8832315767707572E-2</v>
          </cell>
          <cell r="G165">
            <v>3.0543631535415186E-2</v>
          </cell>
          <cell r="H165">
            <v>3.2006602244411902E-2</v>
          </cell>
          <cell r="I165">
            <v>3.3071687199031086E-2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0.35149986092475399</v>
          </cell>
          <cell r="G166">
            <v>0.45078090930791764</v>
          </cell>
          <cell r="H166">
            <v>0.47237229295618205</v>
          </cell>
          <cell r="I166">
            <v>0.48809144422268164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2.2905494323366398E-3</v>
          </cell>
          <cell r="F167">
            <v>4.5223266348379202E-3</v>
          </cell>
          <cell r="G167">
            <v>9.7853354593638101E-3</v>
          </cell>
          <cell r="H167">
            <v>1.560065632757723E-2</v>
          </cell>
          <cell r="I167">
            <v>5.49039714699677E-3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1.2952998448830555E-5</v>
          </cell>
          <cell r="F168">
            <v>2.6378348114679587E-5</v>
          </cell>
          <cell r="G168">
            <v>6.3589133344415768E-5</v>
          </cell>
          <cell r="H168">
            <v>1.2005257948353996E-4</v>
          </cell>
          <cell r="I168">
            <v>4.4664713603837152E-5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3.1037255180713306E-5</v>
          </cell>
          <cell r="F169">
            <v>6.1278138683440578E-5</v>
          </cell>
          <cell r="G169">
            <v>1.3259262140059369E-4</v>
          </cell>
          <cell r="H169">
            <v>2.1139100714874314E-4</v>
          </cell>
          <cell r="I169">
            <v>7.4395625298059284E-5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8.6584279091465205E-7</v>
          </cell>
          <cell r="F170">
            <v>8.5000191688350997E-7</v>
          </cell>
          <cell r="G170">
            <v>5.5760153947279996E-6</v>
          </cell>
          <cell r="H170">
            <v>5.27870852654643E-6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8.5431569516796101E-7</v>
          </cell>
          <cell r="F171">
            <v>1.64410150349728E-6</v>
          </cell>
          <cell r="G171">
            <v>6.6707727608132203E-6</v>
          </cell>
          <cell r="H171">
            <v>9.5989861789441897E-6</v>
          </cell>
          <cell r="I171">
            <v>3.3514455529127101E-6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1.6627563554089001E-3</v>
          </cell>
          <cell r="F172">
            <v>2.8870765560840396E-3</v>
          </cell>
          <cell r="G172">
            <v>1.5095739972064258E-2</v>
          </cell>
          <cell r="H172">
            <v>1.2415932965796531E-2</v>
          </cell>
          <cell r="I172">
            <v>2.68009287810688E-3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1.2749358966871462E-5</v>
          </cell>
          <cell r="F173">
            <v>2.2685240562119101E-5</v>
          </cell>
          <cell r="G173">
            <v>1.3096679484692652E-4</v>
          </cell>
          <cell r="H173">
            <v>1.1700710841327105E-4</v>
          </cell>
          <cell r="I173">
            <v>2.7515503214115783E-5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2.2684261328907239E-5</v>
          </cell>
          <cell r="F174">
            <v>3.9387129005239319E-5</v>
          </cell>
          <cell r="G174">
            <v>2.0594461080578858E-4</v>
          </cell>
          <cell r="H174">
            <v>1.6938517006543678E-4</v>
          </cell>
          <cell r="I174">
            <v>3.6563340765441772E-5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1.32456521524289E-6</v>
          </cell>
          <cell r="F175">
            <v>1.09395486945373E-6</v>
          </cell>
          <cell r="G175">
            <v>1.89708088581131E-5</v>
          </cell>
          <cell r="H175">
            <v>5.00887640880638E-6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1.30693107863166E-6</v>
          </cell>
          <cell r="F176">
            <v>2.3115149488684898E-6</v>
          </cell>
          <cell r="G176">
            <v>1.9925073551918299E-5</v>
          </cell>
          <cell r="H176">
            <v>1.43722442010405E-5</v>
          </cell>
          <cell r="I176">
            <v>3.1800541424854398E-6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2.25456025280077E-3</v>
          </cell>
          <cell r="F177">
            <v>5.1826644789665505E-3</v>
          </cell>
          <cell r="G177">
            <v>1.0387040185044719E-2</v>
          </cell>
          <cell r="H177">
            <v>1.7670382126401742E-2</v>
          </cell>
          <cell r="I177">
            <v>6.50205466906473E-3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1.1852324366776561E-5</v>
          </cell>
          <cell r="F178">
            <v>2.8039082063141317E-5</v>
          </cell>
          <cell r="G178">
            <v>6.2542815412191543E-5</v>
          </cell>
          <cell r="H178">
            <v>1.2682612215248886E-4</v>
          </cell>
          <cell r="I178">
            <v>4.9274459754823204E-5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3.0549596921419691E-5</v>
          </cell>
          <cell r="F179">
            <v>7.0225805948056217E-5</v>
          </cell>
          <cell r="G179">
            <v>1.4074580196537563E-4</v>
          </cell>
          <cell r="H179">
            <v>2.3943607217346535E-4</v>
          </cell>
          <cell r="I179">
            <v>8.8103721803045265E-5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6.8424228509971496E-7</v>
          </cell>
          <cell r="F180">
            <v>7.0017482869646103E-7</v>
          </cell>
          <cell r="G180">
            <v>4.8172535491962698E-6</v>
          </cell>
          <cell r="H180">
            <v>5.1493815148642301E-6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6.7513286429372E-7</v>
          </cell>
          <cell r="F181">
            <v>1.32734244422247E-6</v>
          </cell>
          <cell r="G181">
            <v>5.6857758646367701E-6</v>
          </cell>
          <cell r="H181">
            <v>8.9508508650940995E-6</v>
          </cell>
          <cell r="I181">
            <v>3.2213117709254099E-6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2.31895409248258E-3</v>
          </cell>
          <cell r="F182">
            <v>4.08947729036675E-3</v>
          </cell>
          <cell r="G182">
            <v>8.0729085483731387E-3</v>
          </cell>
          <cell r="H182">
            <v>1.3914306433681554E-2</v>
          </cell>
          <cell r="I182">
            <v>5.0864670392003902E-3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1.4302899392421856E-5</v>
          </cell>
          <cell r="F183">
            <v>2.5887208338699125E-5</v>
          </cell>
          <cell r="G183">
            <v>5.5762859105486077E-5</v>
          </cell>
          <cell r="H183">
            <v>1.1195597568176742E-4</v>
          </cell>
          <cell r="I183">
            <v>4.2767288590944421E-5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3.16364814799806E-5</v>
          </cell>
          <cell r="F184">
            <v>5.5790958940883337E-5</v>
          </cell>
          <cell r="G184">
            <v>1.1013517801327612E-4</v>
          </cell>
          <cell r="H184">
            <v>1.8982682719892978E-4</v>
          </cell>
          <cell r="I184">
            <v>6.9392456196458311E-5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8.4180730750761897E-7</v>
          </cell>
          <cell r="F185">
            <v>8.3449388283023602E-7</v>
          </cell>
          <cell r="G185">
            <v>4.7131940695479096E-6</v>
          </cell>
          <cell r="H185">
            <v>5.05465214199833E-6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8.3060019977891299E-7</v>
          </cell>
          <cell r="F186">
            <v>1.60644187856153E-6</v>
          </cell>
          <cell r="G186">
            <v>5.8212971149293603E-6</v>
          </cell>
          <cell r="H186">
            <v>8.9179516747988798E-6</v>
          </cell>
          <cell r="I186">
            <v>3.1987981300176199E-6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2.5255472299560901E-3</v>
          </cell>
          <cell r="F187">
            <v>4.7195799678999405E-3</v>
          </cell>
          <cell r="G187">
            <v>1.2817928547697359E-2</v>
          </cell>
          <cell r="H187">
            <v>1.7544337566782989E-2</v>
          </cell>
          <cell r="I187">
            <v>5.63214249785929E-3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1.3460160194802796E-5</v>
          </cell>
          <cell r="F188">
            <v>2.5893825344891895E-5</v>
          </cell>
          <cell r="G188">
            <v>7.8661273934146062E-5</v>
          </cell>
          <cell r="H188">
            <v>1.247851062282735E-4</v>
          </cell>
          <cell r="I188">
            <v>4.2786191458722533E-5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3.4221507180976833E-5</v>
          </cell>
          <cell r="F189">
            <v>6.3950948074524997E-5</v>
          </cell>
          <cell r="G189">
            <v>1.7368466866798588E-4</v>
          </cell>
          <cell r="H189">
            <v>2.3772815131142255E-4</v>
          </cell>
          <cell r="I189">
            <v>7.6316294008933552E-5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9.3856862254948499E-7</v>
          </cell>
          <cell r="F190">
            <v>7.9225746182718101E-7</v>
          </cell>
          <cell r="G190">
            <v>7.5476359988913496E-6</v>
          </cell>
          <cell r="H190">
            <v>5.34453609333425E-6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9.2607331683060505E-7</v>
          </cell>
          <cell r="F191">
            <v>1.65477611903154E-6</v>
          </cell>
          <cell r="G191">
            <v>8.5443625275659197E-6</v>
          </cell>
          <cell r="H191">
            <v>1.036473990836E-5</v>
          </cell>
          <cell r="I191">
            <v>3.3707157046150302E-6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2.1039187601944401E-3</v>
          </cell>
          <cell r="F192">
            <v>4.7764280993585198E-3</v>
          </cell>
          <cell r="G192">
            <v>8.7478402685005098E-3</v>
          </cell>
          <cell r="H192">
            <v>1.5767476736522654E-2</v>
          </cell>
          <cell r="I192">
            <v>5.9954915795404099E-3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1.2063275916626037E-5</v>
          </cell>
          <cell r="F193">
            <v>2.8042963866029695E-5</v>
          </cell>
          <cell r="G193">
            <v>5.5990708843687703E-5</v>
          </cell>
          <cell r="H193">
            <v>1.1821493353749201E-4</v>
          </cell>
          <cell r="I193">
            <v>4.6963162782118288E-5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2.8702848024480781E-5</v>
          </cell>
          <cell r="F194">
            <v>6.5162729868465386E-5</v>
          </cell>
          <cell r="G194">
            <v>1.1934297774216262E-4</v>
          </cell>
          <cell r="H194">
            <v>2.1510882314492038E-4</v>
          </cell>
          <cell r="I194">
            <v>8.1793882394821498E-5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6.9741349854356204E-7</v>
          </cell>
          <cell r="F195">
            <v>6.8690849223904798E-7</v>
          </cell>
          <cell r="G195">
            <v>4.1290231729451003E-6</v>
          </cell>
          <cell r="H195">
            <v>4.88888247995874E-6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6.8812872738521602E-7</v>
          </cell>
          <cell r="F196">
            <v>1.3265047215158001E-6</v>
          </cell>
          <cell r="G196">
            <v>5.03156704762562E-6</v>
          </cell>
          <cell r="H196">
            <v>8.27044578864147E-6</v>
          </cell>
          <cell r="I196">
            <v>3.0410127417835302E-6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0.82383295856087801</v>
          </cell>
          <cell r="F197">
            <v>1.0061992283065528</v>
          </cell>
          <cell r="G197">
            <v>4.7138946423246209</v>
          </cell>
          <cell r="H197">
            <v>2.19452337081814</v>
          </cell>
          <cell r="I197">
            <v>2.752390271605178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1.826523083510642E-3</v>
          </cell>
          <cell r="F198">
            <v>2.2538261818943108E-3</v>
          </cell>
          <cell r="G198">
            <v>1.1853393158741348E-2</v>
          </cell>
          <cell r="H198">
            <v>5.8958760404072249E-3</v>
          </cell>
          <cell r="I198">
            <v>8.2814774058633887E-3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1.1239194523340766E-2</v>
          </cell>
          <cell r="F199">
            <v>1.3727138176078449E-2</v>
          </cell>
          <cell r="G199">
            <v>6.4309613128575957E-2</v>
          </cell>
          <cell r="H199">
            <v>2.9938927296291142E-2</v>
          </cell>
          <cell r="I199">
            <v>3.754966264127118E-2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4.0864624168530297E-5</v>
          </cell>
          <cell r="F200">
            <v>1.14271409051989E-5</v>
          </cell>
          <cell r="G200">
            <v>2.9880885969089499E-4</v>
          </cell>
          <cell r="H200">
            <v>6.8772266445093797E-5</v>
          </cell>
          <cell r="I200">
            <v>2.03816258717498E-4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4.0864624168530297E-5</v>
          </cell>
          <cell r="F201">
            <v>5.1893686479964249E-5</v>
          </cell>
          <cell r="G201">
            <v>2.997024298557763E-4</v>
          </cell>
          <cell r="H201">
            <v>1.4969317407005362E-4</v>
          </cell>
          <cell r="I201">
            <v>2.4694273821443998E-4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2.3257444227357698E-3</v>
          </cell>
          <cell r="F202">
            <v>4.3574428729806396E-3</v>
          </cell>
          <cell r="G202">
            <v>7.7351102231878795E-3</v>
          </cell>
          <cell r="H202">
            <v>1.4692476839251057E-2</v>
          </cell>
          <cell r="I202">
            <v>5.4803711151769898E-3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1.2673690164365828E-5</v>
          </cell>
          <cell r="F203">
            <v>2.4317307285224224E-5</v>
          </cell>
          <cell r="G203">
            <v>4.7002425989922605E-5</v>
          </cell>
          <cell r="H203">
            <v>1.0419372760030001E-4</v>
          </cell>
          <cell r="I203">
            <v>4.054605233849938E-5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3.1729119000487979E-5</v>
          </cell>
          <cell r="F204">
            <v>5.9446696766447957E-5</v>
          </cell>
          <cell r="G204">
            <v>1.0552674247186731E-4</v>
          </cell>
          <cell r="H204">
            <v>2.0044306738405262E-4</v>
          </cell>
          <cell r="I204">
            <v>7.4766318078812891E-5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8.9427083031158702E-7</v>
          </cell>
          <cell r="F205">
            <v>7.0893132170607302E-7</v>
          </cell>
          <cell r="G205">
            <v>4.0300367855448602E-6</v>
          </cell>
          <cell r="H205">
            <v>5.0232033493915704E-6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8.8236526778610398E-7</v>
          </cell>
          <cell r="F206">
            <v>1.53135305448283E-6</v>
          </cell>
          <cell r="G206">
            <v>5.10383109605599E-6</v>
          </cell>
          <cell r="H206">
            <v>8.6034302574491693E-6</v>
          </cell>
          <cell r="I206">
            <v>3.1793266605640099E-6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0.130373013407629</v>
          </cell>
          <cell r="F207">
            <v>0.232670517856091</v>
          </cell>
          <cell r="G207">
            <v>3.492646119354592E-3</v>
          </cell>
          <cell r="H207">
            <v>0.76528627924414772</v>
          </cell>
          <cell r="I207">
            <v>0.43664111170976105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2.0719870758376848E-4</v>
          </cell>
          <cell r="F208">
            <v>3.7791268087296895E-4</v>
          </cell>
          <cell r="G208">
            <v>6.1841765610873918E-6</v>
          </cell>
          <cell r="H208">
            <v>1.5029100060717621E-3</v>
          </cell>
          <cell r="I208">
            <v>9.0121857250122011E-4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1.7786222838694328E-3</v>
          </cell>
          <cell r="F209">
            <v>3.174222617409152E-3</v>
          </cell>
          <cell r="G209">
            <v>4.7648651014387345E-5</v>
          </cell>
          <cell r="H209">
            <v>1.0440467656809655E-2</v>
          </cell>
          <cell r="I209">
            <v>5.9569046617975524E-3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4.9681047697513502E-6</v>
          </cell>
          <cell r="F210">
            <v>4.0135557102621699E-6</v>
          </cell>
          <cell r="G210">
            <v>1.54561956668422E-7</v>
          </cell>
          <cell r="H210">
            <v>2.1422292327369101E-5</v>
          </cell>
          <cell r="I210">
            <v>8.3296446286692792E-6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4.9681047697513502E-6</v>
          </cell>
          <cell r="F211">
            <v>8.9387388653136058E-6</v>
          </cell>
          <cell r="G211">
            <v>2.2101249204880104E-7</v>
          </cell>
          <cell r="H211">
            <v>3.3672313217186412E-5</v>
          </cell>
          <cell r="I211">
            <v>2.1211458062091656E-5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0.41612627870847196</v>
          </cell>
          <cell r="E212">
            <v>0.36071032763695088</v>
          </cell>
          <cell r="F212">
            <v>0.27743862596389163</v>
          </cell>
          <cell r="G212">
            <v>4.7212127589541569E-6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0.46781412883541035</v>
          </cell>
          <cell r="E213">
            <v>0.37693931030775929</v>
          </cell>
          <cell r="F213">
            <v>0.26220567389635169</v>
          </cell>
          <cell r="G213">
            <v>3.8487764570200001E-6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2.8026336967805023E-2</v>
          </cell>
          <cell r="G214">
            <v>1.5334357759966277E-7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8870.0666725759293</v>
          </cell>
          <cell r="E215">
            <v>8124.5228384515103</v>
          </cell>
          <cell r="F215">
            <v>6387.5609625738298</v>
          </cell>
          <cell r="G215">
            <v>3052.69770722674</v>
          </cell>
          <cell r="H215">
            <v>3081.1222962355901</v>
          </cell>
          <cell r="I215">
            <v>484.335757542858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119.23207699584437</v>
          </cell>
          <cell r="E216">
            <v>109.21042291866186</v>
          </cell>
          <cell r="F216">
            <v>85.862055903135186</v>
          </cell>
          <cell r="G216">
            <v>41.034583110680735</v>
          </cell>
          <cell r="H216">
            <v>41.41666848956023</v>
          </cell>
          <cell r="I216">
            <v>6.510476241822901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121.01045938029928</v>
          </cell>
          <cell r="E217">
            <v>110.83932931038892</v>
          </cell>
          <cell r="F217">
            <v>87.142714359806604</v>
          </cell>
          <cell r="G217">
            <v>41.646626292315752</v>
          </cell>
          <cell r="H217">
            <v>42.034410589844285</v>
          </cell>
          <cell r="I217">
            <v>6.6075819582927418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7.75315622956365E-2</v>
          </cell>
          <cell r="F218">
            <v>0.13910799981608921</v>
          </cell>
          <cell r="G218">
            <v>1.4792508800466099E-4</v>
          </cell>
          <cell r="H218">
            <v>3.7002949772427001</v>
          </cell>
          <cell r="I218">
            <v>0.68438762839815204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8.2752332675208178E-5</v>
          </cell>
          <cell r="F219">
            <v>1.5172158836270652E-4</v>
          </cell>
          <cell r="G219">
            <v>1.7923416642831909E-7</v>
          </cell>
          <cell r="H219">
            <v>4.837218877545648E-3</v>
          </cell>
          <cell r="I219">
            <v>9.444090054860862E-4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1.0577293628326941E-3</v>
          </cell>
          <cell r="F220">
            <v>1.897789901993031E-3</v>
          </cell>
          <cell r="G220">
            <v>2.018077598972177E-6</v>
          </cell>
          <cell r="H220">
            <v>5.0481514014225064E-2</v>
          </cell>
          <cell r="I220">
            <v>9.3368025702339954E-3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2.0285391084955398E-6</v>
          </cell>
          <cell r="F221">
            <v>1.62179174228488E-6</v>
          </cell>
          <cell r="G221">
            <v>4.2456115659232998E-8</v>
          </cell>
          <cell r="H221">
            <v>4.50709960016769E-5</v>
          </cell>
          <cell r="I221">
            <v>5.6194437919959202E-6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2.0285391084955398E-6</v>
          </cell>
          <cell r="F222">
            <v>3.6503308507804201E-6</v>
          </cell>
          <cell r="G222">
            <v>6.4063581274230172E-8</v>
          </cell>
          <cell r="H222">
            <v>1.0580812454264772E-4</v>
          </cell>
          <cell r="I222">
            <v>2.1053643104074974E-5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8.0987148031243187E-3</v>
          </cell>
          <cell r="E223">
            <v>0.2071896194797089</v>
          </cell>
          <cell r="F223">
            <v>5.474306031567832E-2</v>
          </cell>
          <cell r="G223">
            <v>2.4638289705001582E-2</v>
          </cell>
          <cell r="H223">
            <v>1.01071427037263</v>
          </cell>
          <cell r="I223">
            <v>1.8802560572357063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8.098714803124317E-3</v>
          </cell>
          <cell r="E224">
            <v>0.20718961947970888</v>
          </cell>
          <cell r="F224">
            <v>5.474306031567832E-2</v>
          </cell>
          <cell r="G224">
            <v>2.4638289705001582E-2</v>
          </cell>
          <cell r="H224">
            <v>1.0107142703726297</v>
          </cell>
          <cell r="I224">
            <v>1.8802560572357059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8.1105552527924313E-3</v>
          </cell>
          <cell r="E225">
            <v>0.20727011406901621</v>
          </cell>
          <cell r="F225">
            <v>5.4894550922331274E-2</v>
          </cell>
          <cell r="G225">
            <v>2.4768247327114232E-2</v>
          </cell>
          <cell r="H225">
            <v>1.0109186263790328</v>
          </cell>
          <cell r="I225">
            <v>1.8805348940478812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8.1105552527924313E-3</v>
          </cell>
          <cell r="E226">
            <v>0.20727011406901621</v>
          </cell>
          <cell r="F226">
            <v>5.4894550922331274E-2</v>
          </cell>
          <cell r="G226">
            <v>2.4768247327114232E-2</v>
          </cell>
          <cell r="H226">
            <v>1.0109186263790328</v>
          </cell>
          <cell r="I226">
            <v>1.8805348940478812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1.9550356976350901E-2</v>
          </cell>
          <cell r="E227">
            <v>3.2070476485979298</v>
          </cell>
          <cell r="F227">
            <v>1.7115808146304701E-2</v>
          </cell>
          <cell r="G227">
            <v>5.8294833977748297E-4</v>
          </cell>
          <cell r="H227">
            <v>12.1192587351544</v>
          </cell>
          <cell r="I227">
            <v>19.443274489738599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1.9550356976350901E-2</v>
          </cell>
          <cell r="E228">
            <v>3.1833303749351129</v>
          </cell>
          <cell r="F228">
            <v>3.0161113976024265</v>
          </cell>
          <cell r="G228">
            <v>2.4203861454264941</v>
          </cell>
          <cell r="H228">
            <v>21.873013290129023</v>
          </cell>
          <cell r="I228">
            <v>25.708843847827854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E229">
            <v>3.5419502507271002E-2</v>
          </cell>
          <cell r="F229">
            <v>6.7696419883491094E-2</v>
          </cell>
          <cell r="H229">
            <v>6.5068796695046199E-2</v>
          </cell>
          <cell r="I229">
            <v>2.0797621558356339E-2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E230">
            <v>2.5490174015531702E-5</v>
          </cell>
          <cell r="F230">
            <v>4.9820465252176575E-5</v>
          </cell>
          <cell r="H230">
            <v>5.7886261679532685E-5</v>
          </cell>
          <cell r="I230">
            <v>2.0293569198536744E-5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E231">
            <v>4.83212858216522E-4</v>
          </cell>
          <cell r="F231">
            <v>9.2355279513630663E-4</v>
          </cell>
          <cell r="H231">
            <v>8.8770527551222786E-4</v>
          </cell>
          <cell r="I231">
            <v>2.8373289984115078E-4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6.2309414813104104E-7</v>
          </cell>
          <cell r="F232">
            <v>5.1653232006243605E-7</v>
          </cell>
          <cell r="H232">
            <v>7.1757821430630202E-7</v>
          </cell>
          <cell r="I232">
            <v>3.43289532552229E-7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6.2309414813104104E-7</v>
          </cell>
          <cell r="F233">
            <v>1.1396264681934801E-6</v>
          </cell>
          <cell r="G233">
            <v>-1.748985981680901E-8</v>
          </cell>
          <cell r="H233">
            <v>1.25693602333306E-6</v>
          </cell>
          <cell r="I233">
            <v>4.6921635483625898E-7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1408.88880974618</v>
          </cell>
          <cell r="E234">
            <v>1167.92277867289</v>
          </cell>
          <cell r="F234">
            <v>840.94588181545805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1.5752196061216581</v>
          </cell>
          <cell r="E235">
            <v>1.3383504461150797</v>
          </cell>
          <cell r="F235">
            <v>0.99881005235119469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19.22085688603244</v>
          </cell>
          <cell r="E236">
            <v>15.933462191990317</v>
          </cell>
          <cell r="F236">
            <v>11.472658687796155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1.97746081405736E-2</v>
          </cell>
          <cell r="G237">
            <v>-4.8182793680254243E-8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2.3130540517946201E-4</v>
          </cell>
          <cell r="F238">
            <v>1.2888830403886601E-3</v>
          </cell>
          <cell r="G238">
            <v>2.4104894039188902E-8</v>
          </cell>
          <cell r="H238">
            <v>0.78644108798739498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1.8832863902083899E-2</v>
          </cell>
          <cell r="F239">
            <v>0.104940733514251</v>
          </cell>
          <cell r="G239">
            <v>1.9626181604445499E-6</v>
          </cell>
          <cell r="H239">
            <v>64.031957945738498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2.5518785775181406E-4</v>
          </cell>
          <cell r="F240">
            <v>1.4219611587296798E-3</v>
          </cell>
          <cell r="G240">
            <v>2.6593742011443611E-8</v>
          </cell>
          <cell r="H240">
            <v>0.86764170658182138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1.0905459328123E-5</v>
          </cell>
          <cell r="E241">
            <v>2.55751501599955E-5</v>
          </cell>
          <cell r="F241">
            <v>7.7319509912044198E-5</v>
          </cell>
          <cell r="G241">
            <v>4.5568094758750097E-5</v>
          </cell>
          <cell r="H241">
            <v>0.78514390509347898</v>
          </cell>
          <cell r="I241">
            <v>1.50093609491338E-5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1.5951222536765179</v>
          </cell>
          <cell r="E242">
            <v>1.595147828826678</v>
          </cell>
          <cell r="F242">
            <v>1.3356443511500782E-3</v>
          </cell>
          <cell r="G242">
            <v>1.2097256879894935E-4</v>
          </cell>
          <cell r="H242">
            <v>0.78602889899117001</v>
          </cell>
          <cell r="I242">
            <v>6.9557504738027021E-5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6.5245454997568633E-2</v>
          </cell>
          <cell r="E243">
            <v>3.7188747531514625E-2</v>
          </cell>
          <cell r="F243">
            <v>3.8168930426683088E-2</v>
          </cell>
          <cell r="G243">
            <v>2.1180891123068098E-2</v>
          </cell>
          <cell r="H243">
            <v>6.465339496094848</v>
          </cell>
          <cell r="I243">
            <v>10.120783775890937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6.5245454997568633E-2</v>
          </cell>
          <cell r="E244">
            <v>3.7188747531514625E-2</v>
          </cell>
          <cell r="F244">
            <v>3.8168930426683081E-2</v>
          </cell>
          <cell r="G244">
            <v>2.1180891123068098E-2</v>
          </cell>
          <cell r="H244">
            <v>6.465339496094848</v>
          </cell>
          <cell r="I244">
            <v>10.120783775890935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6.5261168088561819E-2</v>
          </cell>
          <cell r="E245">
            <v>3.7240963406893035E-2</v>
          </cell>
          <cell r="F245">
            <v>3.8301672775241796E-2</v>
          </cell>
          <cell r="G245">
            <v>2.1277139627442605E-2</v>
          </cell>
          <cell r="H245">
            <v>6.4660903912009324</v>
          </cell>
          <cell r="I245">
            <v>10.121885988303191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6.5261168088561819E-2</v>
          </cell>
          <cell r="E246">
            <v>3.7240963406893035E-2</v>
          </cell>
          <cell r="F246">
            <v>3.8301672775241796E-2</v>
          </cell>
          <cell r="G246">
            <v>2.1277139627442605E-2</v>
          </cell>
          <cell r="H246">
            <v>6.4660903912009324</v>
          </cell>
          <cell r="I246">
            <v>10.121885988303191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2.0738928924746901E-2</v>
          </cell>
          <cell r="E247">
            <v>0.142678903385595</v>
          </cell>
          <cell r="F247">
            <v>3.2832051954257098E-2</v>
          </cell>
          <cell r="G247">
            <v>2.9723479761181899E-3</v>
          </cell>
          <cell r="H247">
            <v>101.279374770332</v>
          </cell>
          <cell r="I247">
            <v>183.33470001508201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2.0738928924746901E-2</v>
          </cell>
          <cell r="E248">
            <v>0.16091306868609034</v>
          </cell>
          <cell r="F248">
            <v>0.18377146355579202</v>
          </cell>
          <cell r="G248">
            <v>0.15213875258190163</v>
          </cell>
          <cell r="H248">
            <v>140.67344734090454</v>
          </cell>
          <cell r="I248">
            <v>220.21197917911823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3.1781210154401411</v>
          </cell>
          <cell r="E249">
            <v>3.7697956017055172</v>
          </cell>
          <cell r="F249">
            <v>3.6973195430630512</v>
          </cell>
          <cell r="G249">
            <v>3.1326076214454514E-3</v>
          </cell>
          <cell r="H249">
            <v>31.327497010451292</v>
          </cell>
          <cell r="I249">
            <v>12.635339600604302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8.2161044313794965E-2</v>
          </cell>
          <cell r="E250">
            <v>9.7527825349986483E-2</v>
          </cell>
          <cell r="F250">
            <v>9.5672106811994007E-2</v>
          </cell>
          <cell r="G250">
            <v>8.2425929216088444E-5</v>
          </cell>
          <cell r="H250">
            <v>0.88168908028553206</v>
          </cell>
          <cell r="I250">
            <v>0.35754962082016611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4.3063970398917954E-2</v>
          </cell>
          <cell r="E251">
            <v>5.1081241215521968E-2</v>
          </cell>
          <cell r="F251">
            <v>5.0099180800312303E-2</v>
          </cell>
          <cell r="G251">
            <v>4.2447257743163362E-5</v>
          </cell>
          <cell r="H251">
            <v>0.42449182940990959</v>
          </cell>
          <cell r="I251">
            <v>0.17121056369382551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7.2448744002321904E-4</v>
          </cell>
          <cell r="F252">
            <v>3.5686457516057198E-4</v>
          </cell>
          <cell r="G252">
            <v>7.9917403416110502E-6</v>
          </cell>
          <cell r="H252">
            <v>0.28555119384199901</v>
          </cell>
          <cell r="I252">
            <v>4.3945669617691903E-3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2.9119037352097754E-2</v>
          </cell>
          <cell r="E253">
            <v>3.3667962622004846E-2</v>
          </cell>
          <cell r="F253">
            <v>3.4023108488761486E-2</v>
          </cell>
          <cell r="G253">
            <v>1.6451529328425502E-5</v>
          </cell>
          <cell r="H253">
            <v>0.42222047825776216</v>
          </cell>
          <cell r="I253">
            <v>0.17158260599325006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13.782269724592499</v>
          </cell>
          <cell r="F254">
            <v>7.9007308347901803</v>
          </cell>
          <cell r="G254">
            <v>6.3938625845640098E-8</v>
          </cell>
          <cell r="H254">
            <v>15.364965153841</v>
          </cell>
          <cell r="I254">
            <v>16.149233673349698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1022.23136951331</v>
          </cell>
          <cell r="F255">
            <v>585.99744909885806</v>
          </cell>
          <cell r="G255">
            <v>4.7423298461764001E-6</v>
          </cell>
          <cell r="H255">
            <v>1139.6199381956001</v>
          </cell>
          <cell r="I255">
            <v>1197.7891584172201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13.945857701409526</v>
          </cell>
          <cell r="F256">
            <v>7.9945081732449896</v>
          </cell>
          <cell r="G256">
            <v>6.4697542239786578E-8</v>
          </cell>
          <cell r="H256">
            <v>15.54733885669304</v>
          </cell>
          <cell r="I256">
            <v>16.340916213059014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6.2279648510134797E-6</v>
          </cell>
          <cell r="E257">
            <v>1.00149148518835E-4</v>
          </cell>
          <cell r="F257">
            <v>4.9179259289886902E-5</v>
          </cell>
          <cell r="G257">
            <v>3.9360569055917801E-5</v>
          </cell>
          <cell r="H257">
            <v>13.508892522857501</v>
          </cell>
          <cell r="I257">
            <v>2.6400150433280798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17.176528146972551</v>
          </cell>
          <cell r="E258">
            <v>17.17662829612107</v>
          </cell>
          <cell r="F258">
            <v>15.301611973782352</v>
          </cell>
          <cell r="G258">
            <v>10.301616718470147</v>
          </cell>
          <cell r="H258">
            <v>15.364077097678642</v>
          </cell>
          <cell r="I258">
            <v>16.148909839120122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4.4122120173220709E-2</v>
          </cell>
          <cell r="E259">
            <v>0.10204754178935144</v>
          </cell>
          <cell r="F259">
            <v>3.2354659232206622</v>
          </cell>
          <cell r="G259">
            <v>14.425817415941705</v>
          </cell>
          <cell r="H259">
            <v>5.5913608987736776</v>
          </cell>
          <cell r="I259">
            <v>2.0238793337537291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4.4122120173220709E-2</v>
          </cell>
          <cell r="E260">
            <v>0.10204754178935144</v>
          </cell>
          <cell r="F260">
            <v>3.2354659232206617</v>
          </cell>
          <cell r="G260">
            <v>14.425817415941701</v>
          </cell>
          <cell r="H260">
            <v>5.5913608987736758</v>
          </cell>
          <cell r="I260">
            <v>2.0238793337537286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4.4133568655817162E-2</v>
          </cell>
          <cell r="E261">
            <v>0.10210565989604353</v>
          </cell>
          <cell r="F261">
            <v>3.2359175507993791</v>
          </cell>
          <cell r="G261">
            <v>14.427354272308328</v>
          </cell>
          <cell r="H261">
            <v>5.5920173763731604</v>
          </cell>
          <cell r="I261">
            <v>2.0241711758386733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4.4133568655817162E-2</v>
          </cell>
          <cell r="E262">
            <v>0.10210565989604353</v>
          </cell>
          <cell r="F262">
            <v>3.2359175507993791</v>
          </cell>
          <cell r="G262">
            <v>14.427354272308328</v>
          </cell>
          <cell r="H262">
            <v>5.5920173763731604</v>
          </cell>
          <cell r="I262">
            <v>2.0241711758386733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2.68097486632119E-2</v>
          </cell>
          <cell r="E263">
            <v>0.53368066138424097</v>
          </cell>
          <cell r="F263">
            <v>47.148707141554198</v>
          </cell>
          <cell r="G263">
            <v>176.08710982025099</v>
          </cell>
          <cell r="H263">
            <v>9.8731167208235</v>
          </cell>
          <cell r="I263">
            <v>24.824235382972901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2.68097486632119E-2</v>
          </cell>
          <cell r="E264">
            <v>0.55260554641715565</v>
          </cell>
          <cell r="F264">
            <v>47.041469475539877</v>
          </cell>
          <cell r="G264">
            <v>208.24215136571286</v>
          </cell>
          <cell r="H264">
            <v>80.20668405168108</v>
          </cell>
          <cell r="I264">
            <v>26.263468952486409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7.9868386229531403</v>
          </cell>
          <cell r="E265">
            <v>11.996058622440987</v>
          </cell>
          <cell r="F265">
            <v>11.52304749164805</v>
          </cell>
          <cell r="G265">
            <v>3.1733244746415729E-3</v>
          </cell>
          <cell r="H265">
            <v>0.21610041705424654</v>
          </cell>
          <cell r="I265">
            <v>0.1618493238884755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0.11934403792063662</v>
          </cell>
          <cell r="E266">
            <v>0.17950568371671186</v>
          </cell>
          <cell r="F266">
            <v>0.17243928829568222</v>
          </cell>
          <cell r="G266">
            <v>4.8135510660220685E-5</v>
          </cell>
          <cell r="H266">
            <v>3.4842202475548747E-3</v>
          </cell>
          <cell r="I266">
            <v>2.6688903817213673E-3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0.10822274556847086</v>
          </cell>
          <cell r="E267">
            <v>0.16254821981627363</v>
          </cell>
          <cell r="F267">
            <v>0.15613885490038007</v>
          </cell>
          <cell r="G267">
            <v>4.2998976621159578E-5</v>
          </cell>
          <cell r="H267">
            <v>2.928189932984368E-3</v>
          </cell>
          <cell r="I267">
            <v>2.1930802694915372E-3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2.42306856756521E-4</v>
          </cell>
          <cell r="F268">
            <v>1.8165046601053601E-4</v>
          </cell>
          <cell r="G268">
            <v>3.4133875922313201E-6</v>
          </cell>
          <cell r="H268">
            <v>6.4054382020940195E-4</v>
          </cell>
          <cell r="I268">
            <v>4.16278987226088E-4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4.2715476776523875E-2</v>
          </cell>
          <cell r="E269">
            <v>6.1983479454792698E-2</v>
          </cell>
          <cell r="F269">
            <v>6.2160521192967104E-2</v>
          </cell>
          <cell r="G269">
            <v>2.5863785991925292E-6</v>
          </cell>
          <cell r="H269">
            <v>1.4645451969504211E-3</v>
          </cell>
          <cell r="I269">
            <v>1.1153824999281376E-3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0.14821892067800377</v>
          </cell>
          <cell r="E270">
            <v>0.78349190650666856</v>
          </cell>
          <cell r="F270">
            <v>0.74440446052316955</v>
          </cell>
          <cell r="G270">
            <v>2.6081118447680421E-2</v>
          </cell>
          <cell r="H270">
            <v>14.639031624759774</v>
          </cell>
          <cell r="I270">
            <v>15.690315694957013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0.14821892067800374</v>
          </cell>
          <cell r="E271">
            <v>0.78349190650666833</v>
          </cell>
          <cell r="F271">
            <v>0.74440446052316944</v>
          </cell>
          <cell r="G271">
            <v>2.6081118447680421E-2</v>
          </cell>
          <cell r="H271">
            <v>14.639031624759774</v>
          </cell>
          <cell r="I271">
            <v>15.690315694957013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0.14824005093223228</v>
          </cell>
          <cell r="E272">
            <v>0.78361811743673537</v>
          </cell>
          <cell r="F272">
            <v>0.74460686939819776</v>
          </cell>
          <cell r="G272">
            <v>2.6178324460793032E-2</v>
          </cell>
          <cell r="H272">
            <v>14.640587409280389</v>
          </cell>
          <cell r="I272">
            <v>15.691971834958505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0.14824005093223228</v>
          </cell>
          <cell r="E273">
            <v>0.78361811743673537</v>
          </cell>
          <cell r="F273">
            <v>0.74460686939819776</v>
          </cell>
          <cell r="G273">
            <v>2.6178324460793032E-2</v>
          </cell>
          <cell r="H273">
            <v>14.640587409280389</v>
          </cell>
          <cell r="I273">
            <v>15.691971834958505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3.1923467678408E-2</v>
          </cell>
          <cell r="E274">
            <v>8.5066757978077607</v>
          </cell>
          <cell r="F274">
            <v>3.6286173951703797E-2</v>
          </cell>
          <cell r="G274">
            <v>5.21654375378321E-3</v>
          </cell>
          <cell r="H274">
            <v>136.77570373726601</v>
          </cell>
          <cell r="I274">
            <v>266.19657966528399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3.1923467678408E-2</v>
          </cell>
          <cell r="E275">
            <v>8.4244165872676788</v>
          </cell>
          <cell r="F275">
            <v>7.9731750730132767</v>
          </cell>
          <cell r="G275">
            <v>6.401663347184428</v>
          </cell>
          <cell r="H275">
            <v>254.49723636727947</v>
          </cell>
          <cell r="I275">
            <v>332.04023615632462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13.37270541797983</v>
          </cell>
          <cell r="E276">
            <v>14.928651510997289</v>
          </cell>
          <cell r="F276">
            <v>16.097332762350891</v>
          </cell>
          <cell r="G276">
            <v>4.1013520789417585E-3</v>
          </cell>
          <cell r="H276">
            <v>0.13009424954851712</v>
          </cell>
          <cell r="I276">
            <v>0.15095800260287023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0.13217360614230492</v>
          </cell>
          <cell r="E277">
            <v>0.14770449097237162</v>
          </cell>
          <cell r="F277">
            <v>0.15927187653174152</v>
          </cell>
          <cell r="G277">
            <v>4.1052563115943726E-5</v>
          </cell>
          <cell r="H277">
            <v>1.3828743376837719E-3</v>
          </cell>
          <cell r="I277">
            <v>1.6367254853662122E-3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0.18120197043333133</v>
          </cell>
          <cell r="E278">
            <v>0.20228525082652155</v>
          </cell>
          <cell r="F278">
            <v>0.21812104014025591</v>
          </cell>
          <cell r="G278">
            <v>5.5573876408424929E-5</v>
          </cell>
          <cell r="H278">
            <v>1.7627947093295001E-3</v>
          </cell>
          <cell r="I278">
            <v>2.0455013902827947E-3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1.13614261342146E-4</v>
          </cell>
          <cell r="F279">
            <v>8.7081619412118102E-5</v>
          </cell>
          <cell r="G279">
            <v>2.9993886294237199E-6</v>
          </cell>
          <cell r="H279">
            <v>2.35266977312863E-4</v>
          </cell>
          <cell r="I279">
            <v>1.9933709087785199E-4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5.3162039631376376E-2</v>
          </cell>
          <cell r="E280">
            <v>6.7091539446210352E-2</v>
          </cell>
          <cell r="F280">
            <v>6.7179123893260445E-2</v>
          </cell>
          <cell r="G280">
            <v>8.4044589154785854E-6</v>
          </cell>
          <cell r="H280">
            <v>5.526913770609633E-4</v>
          </cell>
          <cell r="I280">
            <v>6.7636775131812944E-4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4722.2911613673296</v>
          </cell>
          <cell r="E281">
            <v>4321.6749136313601</v>
          </cell>
          <cell r="F281">
            <v>3540.5946815349798</v>
          </cell>
          <cell r="G281">
            <v>7.4077162982880303E-4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18.302999409740348</v>
          </cell>
          <cell r="E282">
            <v>17.131432645710426</v>
          </cell>
          <cell r="F282">
            <v>14.503593538657361</v>
          </cell>
          <cell r="G282">
            <v>3.1978160463785065E-6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63.987685113378454</v>
          </cell>
          <cell r="E283">
            <v>58.559280672511662</v>
          </cell>
          <cell r="F283">
            <v>47.975537690175898</v>
          </cell>
          <cell r="G283">
            <v>1.0037555959739887E-5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1.6628844727304792</v>
          </cell>
          <cell r="G284">
            <v>0.65025484447083393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8.6360908452551097</v>
          </cell>
          <cell r="E285">
            <v>5.2624461096172279</v>
          </cell>
          <cell r="F285">
            <v>5.7302331235900121</v>
          </cell>
          <cell r="G285">
            <v>4.7644573193208655E-3</v>
          </cell>
          <cell r="H285">
            <v>9.5236283589491932E-2</v>
          </cell>
          <cell r="I285">
            <v>0.11192730004427409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7.9082446809390736E-2</v>
          </cell>
          <cell r="E286">
            <v>4.8235898550920461E-2</v>
          </cell>
          <cell r="F286">
            <v>5.252579458209674E-2</v>
          </cell>
          <cell r="G286">
            <v>4.4163911890356137E-5</v>
          </cell>
          <cell r="H286">
            <v>9.3260522855252866E-4</v>
          </cell>
          <cell r="I286">
            <v>1.1219015817898015E-3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0.11702020115521833</v>
          </cell>
          <cell r="E287">
            <v>7.1306857853891903E-2</v>
          </cell>
          <cell r="F287">
            <v>7.7645435278997088E-2</v>
          </cell>
          <cell r="G287">
            <v>6.4559042267220475E-5</v>
          </cell>
          <cell r="H287">
            <v>1.2904645472830874E-3</v>
          </cell>
          <cell r="I287">
            <v>1.5166300819007337E-3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5.6140352087140097E-5</v>
          </cell>
          <cell r="F288">
            <v>3.7389218392798099E-5</v>
          </cell>
          <cell r="G288">
            <v>2.66250065691962E-6</v>
          </cell>
          <cell r="H288">
            <v>1.4545915708963201E-4</v>
          </cell>
          <cell r="I288">
            <v>1.2157192545807999E-4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3.2651752771715822E-2</v>
          </cell>
          <cell r="E289">
            <v>2.1694234940820342E-2</v>
          </cell>
          <cell r="F289">
            <v>2.1732973259508837E-2</v>
          </cell>
          <cell r="G289">
            <v>1.0160946527761061E-5</v>
          </cell>
          <cell r="H289">
            <v>3.485151056169325E-4</v>
          </cell>
          <cell r="I289">
            <v>4.4532317794989491E-4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4066.5897706999799</v>
          </cell>
          <cell r="E290">
            <v>3569.77972560952</v>
          </cell>
          <cell r="F290">
            <v>2414.60643440689</v>
          </cell>
          <cell r="G290">
            <v>6.97345382930261E-4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18.808310575136847</v>
          </cell>
          <cell r="E291">
            <v>17.23596168618262</v>
          </cell>
          <cell r="F291">
            <v>12.39447224946951</v>
          </cell>
          <cell r="G291">
            <v>3.933840013826371E-6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55.478714470668244</v>
          </cell>
          <cell r="E292">
            <v>48.700951236146246</v>
          </cell>
          <cell r="F292">
            <v>32.941424753163616</v>
          </cell>
          <cell r="G292">
            <v>9.5135795761290703E-6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0.70637181225350221</v>
          </cell>
          <cell r="G293">
            <v>2.2043340942501377E-4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6.5186370347628008E-4</v>
          </cell>
          <cell r="F294">
            <v>8.7140766986755101E-4</v>
          </cell>
          <cell r="G294">
            <v>2.0757525120559569E-5</v>
          </cell>
          <cell r="H294">
            <v>4.0304722190593976E-3</v>
          </cell>
          <cell r="I294">
            <v>4.041971443776265E-3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3.5788948561464969E-4</v>
          </cell>
          <cell r="F295">
            <v>4.7842461708854251E-4</v>
          </cell>
          <cell r="G295">
            <v>1.1396400732872759E-5</v>
          </cell>
          <cell r="H295">
            <v>2.1047508054521315E-3</v>
          </cell>
          <cell r="I295">
            <v>1.9734660350486312E-3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5.576061073597466E-3</v>
          </cell>
          <cell r="E296">
            <v>1.178866004854112E-2</v>
          </cell>
          <cell r="F296">
            <v>1.906919356988971E-2</v>
          </cell>
          <cell r="G296">
            <v>7.5996925137232676E-6</v>
          </cell>
          <cell r="H296">
            <v>0.80332190959668059</v>
          </cell>
          <cell r="I296">
            <v>0.35411257475160807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3.7096160814480087E-3</v>
          </cell>
          <cell r="E297">
            <v>7.8427051493139242E-3</v>
          </cell>
          <cell r="F297">
            <v>1.2686264765294157E-2</v>
          </cell>
          <cell r="G297">
            <v>5.055888232009534E-6</v>
          </cell>
          <cell r="H297">
            <v>0.48674022267339218</v>
          </cell>
          <cell r="I297">
            <v>0.1952309814039293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1.0114437211875191E-3</v>
          </cell>
          <cell r="F298">
            <v>1.4420468357485173E-3</v>
          </cell>
          <cell r="G298">
            <v>1.3695554473686691E-5</v>
          </cell>
          <cell r="H298">
            <v>4.0201539655547319E-3</v>
          </cell>
          <cell r="I298">
            <v>4.0307126438245116E-3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5.5530791356162728E-4</v>
          </cell>
          <cell r="F299">
            <v>7.9171979897949679E-4</v>
          </cell>
          <cell r="G299">
            <v>7.5192021271567881E-6</v>
          </cell>
          <cell r="H299">
            <v>2.0998549004470441E-3</v>
          </cell>
          <cell r="I299">
            <v>1.9682423477579329E-3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3.5370833501607003E-2</v>
          </cell>
          <cell r="G300">
            <v>3.726366700321395E-2</v>
          </cell>
          <cell r="H300">
            <v>3.9048512196511807E-2</v>
          </cell>
          <cell r="I300">
            <v>4.0347931071859175E-2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0.65830556959273911</v>
          </cell>
          <cell r="G301">
            <v>0.7379148962536346</v>
          </cell>
          <cell r="H301">
            <v>0.77325934733858914</v>
          </cell>
          <cell r="I301">
            <v>0.79899112903654423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4.4982933131146362E-3</v>
          </cell>
          <cell r="F302">
            <v>1.0419211636139446E-2</v>
          </cell>
          <cell r="G302">
            <v>2.2268320318220835E-5</v>
          </cell>
          <cell r="H302">
            <v>2.075337050455182</v>
          </cell>
          <cell r="I302">
            <v>5.6032302291068588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3.2103950020711423E-3</v>
          </cell>
          <cell r="F303">
            <v>7.4361057925372964E-3</v>
          </cell>
          <cell r="G303">
            <v>1.5892717365874802E-5</v>
          </cell>
          <cell r="H303">
            <v>1.3479952426961908</v>
          </cell>
          <cell r="I303">
            <v>3.303329399849313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D304">
            <v>8.6085299702928226E-6</v>
          </cell>
          <cell r="E304">
            <v>3.6411725437355196E-4</v>
          </cell>
          <cell r="F304">
            <v>3.6091870930278408E-2</v>
          </cell>
          <cell r="G304">
            <v>1.0842399811407538E-5</v>
          </cell>
          <cell r="H304">
            <v>0.49174331450166192</v>
          </cell>
          <cell r="I304">
            <v>0.2483659383648254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D305">
            <v>5.7270429419494411E-6</v>
          </cell>
          <cell r="E305">
            <v>2.422382403149288E-4</v>
          </cell>
          <cell r="F305">
            <v>2.4011032706664326E-2</v>
          </cell>
          <cell r="G305">
            <v>7.2131815220483312E-6</v>
          </cell>
          <cell r="H305">
            <v>0.29814921251935123</v>
          </cell>
          <cell r="I305">
            <v>0.1370847592567577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142.03315290036201</v>
          </cell>
          <cell r="E306">
            <v>108.951823773765</v>
          </cell>
          <cell r="F306">
            <v>73.960778153658097</v>
          </cell>
          <cell r="G306">
            <v>3.6027534308723198E-4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1.4841600449729093</v>
          </cell>
          <cell r="E307">
            <v>1.162209373909922</v>
          </cell>
          <cell r="F307">
            <v>0.81311574224174676</v>
          </cell>
          <cell r="G307">
            <v>4.156987879140554E-6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1.9245684674845811</v>
          </cell>
          <cell r="E308">
            <v>1.4763119752542644</v>
          </cell>
          <cell r="F308">
            <v>1.0021785657677245</v>
          </cell>
          <cell r="G308">
            <v>4.881779716629155E-6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0.37038283604753347</v>
          </cell>
          <cell r="G309">
            <v>-1.7230386700761713E-7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2.5902485978823622E-2</v>
          </cell>
          <cell r="F310">
            <v>3.1585666555681992E-2</v>
          </cell>
          <cell r="G310">
            <v>1.9328676679783369E-5</v>
          </cell>
          <cell r="H310">
            <v>4.1603412498261126E-2</v>
          </cell>
          <cell r="I310">
            <v>3.0374778176355068E-2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1.9338879438787312E-2</v>
          </cell>
          <cell r="F311">
            <v>2.3581960357529068E-2</v>
          </cell>
          <cell r="G311">
            <v>1.4430852248205968E-5</v>
          </cell>
          <cell r="H311">
            <v>2.8778204652939253E-2</v>
          </cell>
          <cell r="I311">
            <v>1.9531745927199438E-2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3.5527656814290568E-4</v>
          </cell>
          <cell r="F312">
            <v>1.2927419120696204E-3</v>
          </cell>
          <cell r="G312">
            <v>2.203050971011348E-5</v>
          </cell>
          <cell r="H312">
            <v>1.4482807732023784</v>
          </cell>
          <cell r="I312">
            <v>3.9018237101098716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2.5355796950671315E-4</v>
          </cell>
          <cell r="F313">
            <v>9.2261928793669051E-4</v>
          </cell>
          <cell r="G313">
            <v>1.5722993887532133E-5</v>
          </cell>
          <cell r="H313">
            <v>0.94095045563477853</v>
          </cell>
          <cell r="I313">
            <v>2.3006492432433889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7.3838091569658593E-2</v>
          </cell>
          <cell r="F314">
            <v>8.8197330522138975E-2</v>
          </cell>
          <cell r="G314">
            <v>1.6722387508327442E-5</v>
          </cell>
          <cell r="H314">
            <v>3.2997818410141551E-2</v>
          </cell>
          <cell r="I314">
            <v>2.7349741395322317E-2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5.512775692739192E-2</v>
          </cell>
          <cell r="F315">
            <v>6.5848410966613577E-2</v>
          </cell>
          <cell r="G315">
            <v>1.2484988360445955E-5</v>
          </cell>
          <cell r="H315">
            <v>2.2911552674744824E-2</v>
          </cell>
          <cell r="I315">
            <v>1.762690614802467E-2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1.3503243484520819</v>
          </cell>
          <cell r="E316">
            <v>1.3958595138852472</v>
          </cell>
          <cell r="F316">
            <v>1.1207942871181318</v>
          </cell>
          <cell r="G316">
            <v>3.2836253740672505E-2</v>
          </cell>
          <cell r="H316">
            <v>5.867407276376356E-2</v>
          </cell>
          <cell r="I316">
            <v>5.4080435156486889E-2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7.6752274941077857E-3</v>
          </cell>
          <cell r="E317">
            <v>7.9340488314272387E-3</v>
          </cell>
          <cell r="F317">
            <v>6.3705813626105225E-3</v>
          </cell>
          <cell r="G317">
            <v>1.8664087469267283E-4</v>
          </cell>
          <cell r="H317">
            <v>3.3350272990630294E-4</v>
          </cell>
          <cell r="I317">
            <v>3.0739254852524961E-4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2.394192107184542E-2</v>
          </cell>
          <cell r="E318">
            <v>2.4749282161085944E-2</v>
          </cell>
          <cell r="F318">
            <v>1.9872239133300218E-2</v>
          </cell>
          <cell r="G318">
            <v>5.822030805083773E-4</v>
          </cell>
          <cell r="H318">
            <v>1.0403204390738191E-3</v>
          </cell>
          <cell r="I318">
            <v>9.5887296376749836E-4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8.3380481654898601E-6</v>
          </cell>
          <cell r="E319">
            <v>1.9514102287652601E-5</v>
          </cell>
          <cell r="F319">
            <v>1.1695413204275199E-5</v>
          </cell>
          <cell r="G319">
            <v>4.3750395962463702E-6</v>
          </cell>
          <cell r="H319">
            <v>1.01872777566097E-5</v>
          </cell>
          <cell r="I319">
            <v>1.67204676974631E-5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5.9072986569541598E-4</v>
          </cell>
          <cell r="E320">
            <v>7.354024489033712E-4</v>
          </cell>
          <cell r="F320">
            <v>4.9714212342654471E-4</v>
          </cell>
          <cell r="G320">
            <v>1.6580756239758078E-5</v>
          </cell>
          <cell r="H320">
            <v>2.65071137686366E-5</v>
          </cell>
          <cell r="I320">
            <v>2.4581995408804361E-5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2.3216483052951164E-2</v>
          </cell>
          <cell r="E321">
            <v>5.2544470974662957E-2</v>
          </cell>
          <cell r="F321">
            <v>1.8985689381177347E-2</v>
          </cell>
          <cell r="G321">
            <v>1.1762943925517575</v>
          </cell>
          <cell r="H321">
            <v>3.8726298666188352</v>
          </cell>
          <cell r="I321">
            <v>4.5061568474894242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3.4073860887061554E-2</v>
          </cell>
          <cell r="E322">
            <v>7.7117321787777054E-2</v>
          </cell>
          <cell r="F322">
            <v>2.7864502015388908E-2</v>
          </cell>
          <cell r="G322">
            <v>1.7263980682442019</v>
          </cell>
          <cell r="H322">
            <v>5.6836968390643596</v>
          </cell>
          <cell r="I322">
            <v>6.6134978845177388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1.1480901166506399E-3</v>
          </cell>
          <cell r="F323">
            <v>9.6637363500864598E-5</v>
          </cell>
          <cell r="G323">
            <v>8.1016019459742794E-2</v>
          </cell>
          <cell r="H323">
            <v>0.29415730182993399</v>
          </cell>
          <cell r="I323">
            <v>0.25653027795973299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1.6985912907048872E-3</v>
          </cell>
          <cell r="E324">
            <v>3.7397024919329897E-3</v>
          </cell>
          <cell r="F324">
            <v>1.40578450038949E-3</v>
          </cell>
          <cell r="G324">
            <v>8.1988993860564713E-2</v>
          </cell>
          <cell r="H324">
            <v>0.3853433561046487</v>
          </cell>
          <cell r="I324">
            <v>0.41753551477936335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1.7483863449358752E-4</v>
          </cell>
          <cell r="E325">
            <v>7.2740348506103458E-4</v>
          </cell>
          <cell r="F325">
            <v>1.3686343046260324E-3</v>
          </cell>
          <cell r="G325">
            <v>5.2808714286358159E-2</v>
          </cell>
          <cell r="H325">
            <v>5.8718524268078276E-2</v>
          </cell>
          <cell r="I325">
            <v>5.4640107742277816E-2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4.6168937450217254E-4</v>
          </cell>
          <cell r="E326">
            <v>1.8746371931540914E-3</v>
          </cell>
          <cell r="F326">
            <v>3.4147524938390058E-3</v>
          </cell>
          <cell r="G326">
            <v>0.1181551080635234</v>
          </cell>
          <cell r="H326">
            <v>0.12394430925827198</v>
          </cell>
          <cell r="I326">
            <v>0.10347951512340306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1.0495742543454399E-5</v>
          </cell>
          <cell r="F327">
            <v>1.79411720137023E-5</v>
          </cell>
          <cell r="G327">
            <v>1.1387966679898701E-3</v>
          </cell>
          <cell r="H327">
            <v>1.6323741396810599E-4</v>
          </cell>
          <cell r="I327">
            <v>9.58347543363766E-4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3.3713942307692301E-6</v>
          </cell>
          <cell r="E328">
            <v>1.7201703148119269E-5</v>
          </cell>
          <cell r="F328">
            <v>3.2797740321456934E-5</v>
          </cell>
          <cell r="G328">
            <v>1.1472387832845046E-3</v>
          </cell>
          <cell r="H328">
            <v>1.284208823867898E-3</v>
          </cell>
          <cell r="I328">
            <v>1.2345216662101963E-3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4.7910722072064038E-4</v>
          </cell>
          <cell r="E329">
            <v>7.8367420521628076E-4</v>
          </cell>
          <cell r="F329">
            <v>1.2178438420527441E-3</v>
          </cell>
          <cell r="G329">
            <v>5.7406954926273283E-2</v>
          </cell>
          <cell r="H329">
            <v>5.6023299678410424E-2</v>
          </cell>
          <cell r="I329">
            <v>5.4993843283519937E-2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1.7410640065833819E-3</v>
          </cell>
          <cell r="E330">
            <v>2.8089164058735724E-3</v>
          </cell>
          <cell r="F330">
            <v>4.2656825286955732E-3</v>
          </cell>
          <cell r="G330">
            <v>0.17716254262514564</v>
          </cell>
          <cell r="H330">
            <v>0.15999999605036611</v>
          </cell>
          <cell r="I330">
            <v>0.1454275864470557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5.4212292517170398E-6</v>
          </cell>
          <cell r="F331">
            <v>9.5117032852591894E-6</v>
          </cell>
          <cell r="G331">
            <v>1.23635599988518E-3</v>
          </cell>
          <cell r="H331">
            <v>8.4801407554695499E-4</v>
          </cell>
          <cell r="I331">
            <v>7.3938803802682898E-4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1.0848772651616673E-5</v>
          </cell>
          <cell r="E332">
            <v>1.8960591609671389E-5</v>
          </cell>
          <cell r="F332">
            <v>2.8438733122483302E-5</v>
          </cell>
          <cell r="G332">
            <v>1.2473278102235756E-3</v>
          </cell>
          <cell r="H332">
            <v>1.2194916024507302E-3</v>
          </cell>
          <cell r="I332">
            <v>1.1971511289709605E-3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1.4141083350252781E-4</v>
          </cell>
          <cell r="E333">
            <v>3.3080844979108012E-4</v>
          </cell>
          <cell r="F333">
            <v>5.0004372569612747E-4</v>
          </cell>
          <cell r="G333">
            <v>1.2278883201012539E-2</v>
          </cell>
          <cell r="H333">
            <v>7.4418774186123544E-3</v>
          </cell>
          <cell r="I333">
            <v>1.0894521927894134E-2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7.7286177430132793E-4</v>
          </cell>
          <cell r="E334">
            <v>1.7786854589602024E-3</v>
          </cell>
          <cell r="F334">
            <v>2.6321441571063066E-3</v>
          </cell>
          <cell r="G334">
            <v>5.701931658924618E-2</v>
          </cell>
          <cell r="H334">
            <v>3.1339137447224497E-2</v>
          </cell>
          <cell r="I334">
            <v>4.236898550586287E-2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2.6808567576275999E-6</v>
          </cell>
          <cell r="F335">
            <v>3.7409749610948702E-6</v>
          </cell>
          <cell r="G335">
            <v>2.67972116574603E-4</v>
          </cell>
          <cell r="H335">
            <v>1.40402079897549E-4</v>
          </cell>
          <cell r="I335">
            <v>1.8928603058942001E-4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2.317522896216983E-6</v>
          </cell>
          <cell r="E336">
            <v>7.1582626348770242E-6</v>
          </cell>
          <cell r="F336">
            <v>1.0862023961826816E-5</v>
          </cell>
          <cell r="G336">
            <v>2.7486270156053185E-4</v>
          </cell>
          <cell r="H336">
            <v>1.624617374654126E-4</v>
          </cell>
          <cell r="I336">
            <v>2.3736640901261271E-4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6.4175876202807481E-5</v>
          </cell>
          <cell r="F337">
            <v>1.1647598894868917E-4</v>
          </cell>
          <cell r="G337">
            <v>7.0434912591596133E-5</v>
          </cell>
          <cell r="H337">
            <v>1.868367981825537E-4</v>
          </cell>
          <cell r="I337">
            <v>8.5070432146018701E-5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5.0758283765038636E-4</v>
          </cell>
          <cell r="F338">
            <v>8.9868724053550396E-4</v>
          </cell>
          <cell r="G338">
            <v>5.0361408721960967E-4</v>
          </cell>
          <cell r="H338">
            <v>1.1873217773734621E-3</v>
          </cell>
          <cell r="I338">
            <v>4.9779079379347042E-4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1.6779378184755E-6</v>
          </cell>
          <cell r="F339">
            <v>1.52587844981052E-6</v>
          </cell>
          <cell r="G339">
            <v>1.0858823138267299E-6</v>
          </cell>
          <cell r="H339">
            <v>3.5799051018362299E-6</v>
          </cell>
          <cell r="I339">
            <v>1.71356512682805E-6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1.6779378184755E-6</v>
          </cell>
          <cell r="F340">
            <v>3.0529201707125971E-6</v>
          </cell>
          <cell r="G340">
            <v>1.5032099519322399E-6</v>
          </cell>
          <cell r="H340">
            <v>5.1521447276617389E-6</v>
          </cell>
          <cell r="I340">
            <v>2.3394808697805961E-6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1.4671995483266892E-2</v>
          </cell>
          <cell r="E341">
            <v>0.37531180129558106</v>
          </cell>
          <cell r="F341">
            <v>9.9102168396864962E-2</v>
          </cell>
          <cell r="G341">
            <v>1.0527844618283561E-4</v>
          </cell>
          <cell r="H341">
            <v>1.9678357845398051</v>
          </cell>
          <cell r="I341">
            <v>2.4274684386866419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8.0985938391868895E-3</v>
          </cell>
          <cell r="E342">
            <v>0.20716322092744729</v>
          </cell>
          <cell r="F342">
            <v>5.4702048630279936E-2</v>
          </cell>
          <cell r="G342">
            <v>5.8111207615069294E-5</v>
          </cell>
          <cell r="H342">
            <v>1.0086524893070863</v>
          </cell>
          <cell r="I342">
            <v>1.1479601607967749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2.4297403165313299E-4</v>
          </cell>
          <cell r="E343">
            <v>4.0270387389222798E-2</v>
          </cell>
          <cell r="F343">
            <v>2.1831235640209601E-4</v>
          </cell>
          <cell r="G343">
            <v>7.6363758221281104E-6</v>
          </cell>
          <cell r="H343">
            <v>0.16779585912994499</v>
          </cell>
          <cell r="I343">
            <v>0.28540056056201402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1.7137462521404664E-3</v>
          </cell>
          <cell r="E344">
            <v>4.0117619660705893E-2</v>
          </cell>
          <cell r="F344">
            <v>1.4993158487821106E-2</v>
          </cell>
          <cell r="G344">
            <v>1.0613608508493189E-5</v>
          </cell>
          <cell r="H344">
            <v>0.29901524877741131</v>
          </cell>
          <cell r="I344">
            <v>0.36887981890611043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15.2576094124087</v>
          </cell>
          <cell r="E345">
            <v>9.8306944149153406</v>
          </cell>
          <cell r="F345">
            <v>12.6261243924751</v>
          </cell>
          <cell r="G345">
            <v>0.43450380209463602</v>
          </cell>
          <cell r="H345">
            <v>0.42422815972606798</v>
          </cell>
          <cell r="I345">
            <v>0.181195602022035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0.29408835299503422</v>
          </cell>
          <cell r="E346">
            <v>0.19178099953602279</v>
          </cell>
          <cell r="F346">
            <v>0.24509643048437646</v>
          </cell>
          <cell r="G346">
            <v>9.5818998995963189E-3</v>
          </cell>
          <cell r="H346">
            <v>1.0345095008505027E-2</v>
          </cell>
          <cell r="I346">
            <v>4.3767760569679535E-3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0.2705249895817135</v>
          </cell>
          <cell r="E347">
            <v>0.17430309246303763</v>
          </cell>
          <cell r="F347">
            <v>0.2238674537672887</v>
          </cell>
          <cell r="G347">
            <v>7.703968122245327E-3</v>
          </cell>
          <cell r="H347">
            <v>7.5217758816678746E-3</v>
          </cell>
          <cell r="I347">
            <v>3.2126879791140876E-3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2.4501444284118153E-2</v>
          </cell>
          <cell r="E348">
            <v>1.7861902171624953E-2</v>
          </cell>
          <cell r="F348">
            <v>2.1916032091088139E-2</v>
          </cell>
          <cell r="G348">
            <v>1.6156270322279826E-3</v>
          </cell>
          <cell r="H348">
            <v>2.5860512652747924E-3</v>
          </cell>
          <cell r="I348">
            <v>1.1056555726743948E-3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2.2774652667428128E-4</v>
          </cell>
          <cell r="F349">
            <v>9.4751421802996178E-5</v>
          </cell>
          <cell r="G349">
            <v>2.9275691249245727E-4</v>
          </cell>
          <cell r="H349">
            <v>2.7026656972346628E-4</v>
          </cell>
          <cell r="I349">
            <v>7.2383535999114533E-5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5.7166109070632203E-6</v>
          </cell>
          <cell r="E350">
            <v>2.1342110713444699E-6</v>
          </cell>
          <cell r="F350">
            <v>1.6922383035266E-6</v>
          </cell>
          <cell r="G350">
            <v>1.5187920603875601E-6</v>
          </cell>
          <cell r="H350">
            <v>3.4812144646533701E-6</v>
          </cell>
          <cell r="I350">
            <v>9.8355346901687005E-6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0.95962340969255111</v>
          </cell>
          <cell r="E351">
            <v>0.95962554390362242</v>
          </cell>
          <cell r="F351">
            <v>0.95962723614192591</v>
          </cell>
          <cell r="G351">
            <v>0.95962875493398636</v>
          </cell>
          <cell r="H351">
            <v>0.95963674722868209</v>
          </cell>
          <cell r="I351">
            <v>0.48128223911731627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9.5506183962764432E-2</v>
          </cell>
          <cell r="E352">
            <v>5.4398805317245176E-2</v>
          </cell>
          <cell r="F352">
            <v>5.5806188661645557E-2</v>
          </cell>
          <cell r="G352">
            <v>5.5221722701586956E-4</v>
          </cell>
          <cell r="H352">
            <v>10.308546705395875</v>
          </cell>
          <cell r="I352">
            <v>16.995787377603868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6.5245454997568592E-2</v>
          </cell>
          <cell r="E353">
            <v>3.7162774775208136E-2</v>
          </cell>
          <cell r="F353">
            <v>3.8124234681272566E-2</v>
          </cell>
          <cell r="G353">
            <v>3.7724954279602624E-4</v>
          </cell>
          <cell r="H353">
            <v>6.4635025402136259</v>
          </cell>
          <cell r="I353">
            <v>9.7728244546904115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1.4436111541630401E-4</v>
          </cell>
          <cell r="E354">
            <v>1.00392376182417E-3</v>
          </cell>
          <cell r="F354">
            <v>2.3482828941618199E-4</v>
          </cell>
          <cell r="G354">
            <v>2.1860971486529E-5</v>
          </cell>
          <cell r="H354">
            <v>0.78939349368045697</v>
          </cell>
          <cell r="I354">
            <v>1.5193972883845299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7.4188196642652792E-3</v>
          </cell>
          <cell r="E355">
            <v>4.1336477863386702E-3</v>
          </cell>
          <cell r="F355">
            <v>4.2733870583827197E-3</v>
          </cell>
          <cell r="G355">
            <v>4.0357414098340233E-5</v>
          </cell>
          <cell r="H355">
            <v>1.0869461248022365</v>
          </cell>
          <cell r="I355">
            <v>1.7925205024412787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2.7356461049024547E-2</v>
          </cell>
          <cell r="E356">
            <v>2.3908723024932108E-2</v>
          </cell>
          <cell r="F356">
            <v>1.8199919943489271E-2</v>
          </cell>
          <cell r="G356">
            <v>9.3389440752856875E-3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3.9691749794785763E-2</v>
          </cell>
          <cell r="E357">
            <v>3.4369073065030273E-2</v>
          </cell>
          <cell r="F357">
            <v>2.5805174598275183E-2</v>
          </cell>
          <cell r="G357">
            <v>1.324143640052034E-2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1.9499999999999999E-3</v>
          </cell>
          <cell r="E358">
            <v>1.6900000000000001E-3</v>
          </cell>
          <cell r="F358">
            <v>1.2998831887983914E-3</v>
          </cell>
          <cell r="G358">
            <v>6.4995475022685775E-4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5.9011249865034483E-2</v>
          </cell>
          <cell r="E359">
            <v>0.13646892441270483</v>
          </cell>
          <cell r="F359">
            <v>4.3272448047710173</v>
          </cell>
          <cell r="G359">
            <v>19.286945764399011</v>
          </cell>
          <cell r="H359">
            <v>7.5671773400805531</v>
          </cell>
          <cell r="I359">
            <v>2.7064473811809791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4.4122120173220723E-2</v>
          </cell>
          <cell r="E360">
            <v>0.10203644723029831</v>
          </cell>
          <cell r="F360">
            <v>3.2354375772708481</v>
          </cell>
          <cell r="G360">
            <v>14.420656073841762</v>
          </cell>
          <cell r="H360">
            <v>5.5894810961904327</v>
          </cell>
          <cell r="I360">
            <v>1.6787146644279647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1.6198948533998901E-4</v>
          </cell>
          <cell r="E361">
            <v>3.2589607271358298E-3</v>
          </cell>
          <cell r="F361">
            <v>0.29259414239798798</v>
          </cell>
          <cell r="G361">
            <v>1.1231651423951201</v>
          </cell>
          <cell r="H361">
            <v>6.6672251969543794E-2</v>
          </cell>
          <cell r="I361">
            <v>0.178049578132013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4.3786674845849296E-3</v>
          </cell>
          <cell r="E362">
            <v>9.4909181219579638E-3</v>
          </cell>
          <cell r="F362">
            <v>0.29780988192552393</v>
          </cell>
          <cell r="G362">
            <v>1.3261053093035351</v>
          </cell>
          <cell r="H362">
            <v>0.52065918873917483</v>
          </cell>
          <cell r="I362">
            <v>0.18626931446131395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0.19193948903479421</v>
          </cell>
          <cell r="E363">
            <v>1.0145688996061359</v>
          </cell>
          <cell r="F363">
            <v>0.96392740561827328</v>
          </cell>
          <cell r="G363">
            <v>9.5650305886264375E-4</v>
          </cell>
          <cell r="H363">
            <v>20.409400821087626</v>
          </cell>
          <cell r="I363">
            <v>23.321607991234195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0.14821892067800352</v>
          </cell>
          <cell r="E364">
            <v>0.78346726882153495</v>
          </cell>
          <cell r="F364">
            <v>0.74436105040786704</v>
          </cell>
          <cell r="G364">
            <v>7.3862784423756728E-4</v>
          </cell>
          <cell r="H364">
            <v>14.63721851567179</v>
          </cell>
          <cell r="I364">
            <v>15.359107009880624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1.97874619318028E-4</v>
          </cell>
          <cell r="E365">
            <v>5.32475792651005E-2</v>
          </cell>
          <cell r="F365">
            <v>2.3054222790238799E-4</v>
          </cell>
          <cell r="G365">
            <v>3.3993292712523197E-5</v>
          </cell>
          <cell r="H365">
            <v>0.93931976663146899</v>
          </cell>
          <cell r="I365">
            <v>1.9318739512352401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1.5398079857658889E-2</v>
          </cell>
          <cell r="E366">
            <v>7.9929359097771532E-2</v>
          </cell>
          <cell r="F366">
            <v>7.60452223890868E-2</v>
          </cell>
          <cell r="G366">
            <v>7.3731923216906192E-5</v>
          </cell>
          <cell r="H366">
            <v>1.7273695914948901</v>
          </cell>
          <cell r="I366">
            <v>2.3658962498920291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0.117951283829367</v>
          </cell>
          <cell r="F367">
            <v>0.24770688128037099</v>
          </cell>
          <cell r="G367">
            <v>1.5618780039421715E-3</v>
          </cell>
          <cell r="H367">
            <v>1.586571789733828E-3</v>
          </cell>
          <cell r="I367">
            <v>5.1571946724095197E-4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2.5145691168069524E-4</v>
          </cell>
          <cell r="F368">
            <v>5.4081368833632047E-4</v>
          </cell>
          <cell r="G368">
            <v>3.7383696963353508E-6</v>
          </cell>
          <cell r="H368">
            <v>4.1646554045950327E-6</v>
          </cell>
          <cell r="I368">
            <v>1.5069553856238065E-6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2.0913348196696354E-3</v>
          </cell>
          <cell r="F369">
            <v>4.3919659801484219E-3</v>
          </cell>
          <cell r="G369">
            <v>2.7692872410322117E-5</v>
          </cell>
          <cell r="H369">
            <v>2.813070549173453E-5</v>
          </cell>
          <cell r="I369">
            <v>9.1439621851232539E-6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6.9472590448441501E-6</v>
          </cell>
          <cell r="F370">
            <v>5.8019957471833704E-6</v>
          </cell>
          <cell r="G370">
            <v>9.3739707517429597E-8</v>
          </cell>
          <cell r="H370">
            <v>4.1927511790675699E-8</v>
          </cell>
          <cell r="I370">
            <v>4.3226733308765802E-8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6.9472590448441501E-6</v>
          </cell>
          <cell r="F371">
            <v>1.2734591962605121E-5</v>
          </cell>
          <cell r="G371">
            <v>1.7169172220880106E-7</v>
          </cell>
          <cell r="H371">
            <v>7.8754747390205502E-8</v>
          </cell>
          <cell r="I371">
            <v>7.1863213459704505E-8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1.9734717660842895E-4</v>
          </cell>
          <cell r="F372">
            <v>2.3265334542933391E-4</v>
          </cell>
          <cell r="H372">
            <v>9.7664970505615387E-4</v>
          </cell>
          <cell r="I372">
            <v>2.0201766187971266E-2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4.243081498683369E-4</v>
          </cell>
          <cell r="F373">
            <v>4.9220580121928721E-4</v>
          </cell>
          <cell r="H373">
            <v>1.7380676826956151E-3</v>
          </cell>
          <cell r="I373">
            <v>3.3435540726006407E-2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1.4994508440142601E-5</v>
          </cell>
          <cell r="F374">
            <v>6.4329563233666799E-6</v>
          </cell>
          <cell r="G374">
            <v>5.0518623381794298E-5</v>
          </cell>
          <cell r="H374">
            <v>4.3371558805514301E-5</v>
          </cell>
          <cell r="I374">
            <v>1.4112943343279399E-3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1.4994508440142601E-5</v>
          </cell>
          <cell r="F375">
            <v>2.0458037450119499E-5</v>
          </cell>
          <cell r="G375">
            <v>6.8727278602679482E-5</v>
          </cell>
          <cell r="H375">
            <v>8.4954758527552455E-5</v>
          </cell>
          <cell r="I375">
            <v>1.4387626874821308E-3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5.9986069865527597E-2</v>
          </cell>
          <cell r="F376">
            <v>0.16711295298099041</v>
          </cell>
          <cell r="H376">
            <v>2.1787332988191547E-3</v>
          </cell>
          <cell r="I376">
            <v>1.6776823807725973E-3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9.0402491833062104E-5</v>
          </cell>
          <cell r="F377">
            <v>2.5948089316318456E-4</v>
          </cell>
          <cell r="H377">
            <v>4.0240942356473166E-6</v>
          </cell>
          <cell r="I377">
            <v>3.3706432063262133E-6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1.0635827990341786E-3</v>
          </cell>
          <cell r="F378">
            <v>2.9629956202303271E-3</v>
          </cell>
          <cell r="H378">
            <v>3.8630023028708417E-5</v>
          </cell>
          <cell r="I378">
            <v>2.9746141503060245E-5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2.4235114952184702E-6</v>
          </cell>
          <cell r="F379">
            <v>3.53513286957746E-6</v>
          </cell>
          <cell r="G379">
            <v>2.4992080697605399E-8</v>
          </cell>
          <cell r="H379">
            <v>2.3050309606699899E-8</v>
          </cell>
          <cell r="I379">
            <v>2.2217028248094702E-8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2.4235114952184702E-6</v>
          </cell>
          <cell r="F380">
            <v>5.9586443647959302E-6</v>
          </cell>
          <cell r="G380">
            <v>3.3567880934829965E-8</v>
          </cell>
          <cell r="H380">
            <v>3.93424043211105E-8</v>
          </cell>
          <cell r="I380">
            <v>3.7902755305788102E-8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3.0672895029931133E-2</v>
          </cell>
          <cell r="E381">
            <v>15.82790447704993</v>
          </cell>
          <cell r="F381">
            <v>28.61568273657052</v>
          </cell>
          <cell r="G381">
            <v>2.7005330528680799E-3</v>
          </cell>
          <cell r="H381">
            <v>7.0630038549527405E-3</v>
          </cell>
          <cell r="I381">
            <v>6.5838845420967667E-3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5.1854837878496154E-5</v>
          </cell>
          <cell r="E382">
            <v>2.7748932389318023E-2</v>
          </cell>
          <cell r="F382">
            <v>5.1369225316587358E-2</v>
          </cell>
          <cell r="G382">
            <v>4.5654544021796855E-6</v>
          </cell>
          <cell r="H382">
            <v>1.5432196993213734E-5</v>
          </cell>
          <cell r="I382">
            <v>1.5474050897930908E-5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4.1845695811638657E-4</v>
          </cell>
          <cell r="E383">
            <v>0.21593321251091252</v>
          </cell>
          <cell r="F383">
            <v>0.39039130609236744</v>
          </cell>
          <cell r="G383">
            <v>3.6842197174189354E-5</v>
          </cell>
          <cell r="H383">
            <v>9.6357487789259816E-5</v>
          </cell>
          <cell r="I383">
            <v>8.9821071515644826E-5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5.2537619703693205E-4</v>
          </cell>
          <cell r="F384">
            <v>4.4605041480958802E-4</v>
          </cell>
          <cell r="G384">
            <v>2.03840883343174E-8</v>
          </cell>
          <cell r="H384">
            <v>2.1388295891043899E-7</v>
          </cell>
          <cell r="I384">
            <v>2.05156302342529E-7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7.0464135021097004E-7</v>
          </cell>
          <cell r="E385">
            <v>5.2620812390050445E-4</v>
          </cell>
          <cell r="F385">
            <v>9.7221747904424562E-4</v>
          </cell>
          <cell r="G385">
            <v>-2.0825995947627678E-8</v>
          </cell>
          <cell r="H385">
            <v>3.1417770573534859E-7</v>
          </cell>
          <cell r="I385">
            <v>3.3121732860945002E-7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4.7600635918345E-2</v>
          </cell>
          <cell r="F386">
            <v>0.12872169577538811</v>
          </cell>
          <cell r="H386">
            <v>2.9050605743930319E-3</v>
          </cell>
          <cell r="I386">
            <v>1.8726371321262209E-3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4.7619316181287579E-5</v>
          </cell>
          <cell r="F387">
            <v>1.3265112574008774E-4</v>
          </cell>
          <cell r="H387">
            <v>3.6051339637109169E-6</v>
          </cell>
          <cell r="I387">
            <v>2.5326229357513961E-6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8.4398290635363479E-4</v>
          </cell>
          <cell r="F388">
            <v>2.2822995704856034E-3</v>
          </cell>
          <cell r="H388">
            <v>5.1508166212642508E-5</v>
          </cell>
          <cell r="I388">
            <v>3.3202786030606812E-5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1.26744890547937E-6</v>
          </cell>
          <cell r="F389">
            <v>1.8302438361880501E-6</v>
          </cell>
          <cell r="G389">
            <v>1.9375254059368699E-8</v>
          </cell>
          <cell r="H389">
            <v>6.3344999166605794E-8</v>
          </cell>
          <cell r="I389">
            <v>5.87552232996728E-8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1.26744890547937E-6</v>
          </cell>
          <cell r="F390">
            <v>3.0976927416674199E-6</v>
          </cell>
          <cell r="G390">
            <v>3.1997199746969953E-8</v>
          </cell>
          <cell r="H390">
            <v>1.03233474332225E-7</v>
          </cell>
          <cell r="I390">
            <v>8.0452231389237899E-8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7.5010592297926895</v>
          </cell>
          <cell r="E391">
            <v>9.3653573920205968</v>
          </cell>
          <cell r="F391">
            <v>15.615636021351321</v>
          </cell>
          <cell r="H391">
            <v>1.0793009197926931E-2</v>
          </cell>
          <cell r="I391">
            <v>7.6784554343738605E-3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8.9507026374315117E-3</v>
          </cell>
          <cell r="E392">
            <v>1.122007242149827E-2</v>
          </cell>
          <cell r="F392">
            <v>1.928426036409913E-2</v>
          </cell>
          <cell r="H392">
            <v>1.5988889492269256E-5</v>
          </cell>
          <cell r="I392">
            <v>1.2310818097849478E-5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0.10233368662745813</v>
          </cell>
          <cell r="E393">
            <v>0.12776749511624302</v>
          </cell>
          <cell r="F393">
            <v>0.21303732634858552</v>
          </cell>
          <cell r="H393">
            <v>1.4724432739327329E-4</v>
          </cell>
          <cell r="I393">
            <v>1.0475382584411808E-4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9.7007158864553001E-6</v>
          </cell>
          <cell r="F394">
            <v>1.4084446716290401E-4</v>
          </cell>
          <cell r="G394">
            <v>1.1596478828760099E-8</v>
          </cell>
          <cell r="H394">
            <v>7.8157584250261195E-8</v>
          </cell>
          <cell r="I394">
            <v>9.3890474184579002E-8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1.8392134772385882E-4</v>
          </cell>
          <cell r="E395">
            <v>2.2534253653020707E-4</v>
          </cell>
          <cell r="F395">
            <v>3.6662366219153902E-4</v>
          </cell>
          <cell r="G395">
            <v>-2.5776500009000274E-8</v>
          </cell>
          <cell r="H395">
            <v>7.0517240217178009E-8</v>
          </cell>
          <cell r="I395">
            <v>1.3707884436668E-7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E396">
            <v>2.0457573618808102E-2</v>
          </cell>
          <cell r="F396">
            <v>5.1518854613247997E-2</v>
          </cell>
          <cell r="H396">
            <v>4.5429808752172306E-3</v>
          </cell>
          <cell r="I396">
            <v>1.77344684388407E-3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E397">
            <v>1.3670721976997924E-5</v>
          </cell>
          <cell r="F397">
            <v>3.5412317440590828E-5</v>
          </cell>
          <cell r="H397">
            <v>3.7785678928083711E-6</v>
          </cell>
          <cell r="I397">
            <v>1.6356272901764822E-6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E398">
            <v>3.6272293650368938E-4</v>
          </cell>
          <cell r="F398">
            <v>9.1345486902921942E-4</v>
          </cell>
          <cell r="H398">
            <v>8.0549306298177825E-5</v>
          </cell>
          <cell r="I398">
            <v>3.1444092976667807E-5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E399">
            <v>3.2433737461286201E-7</v>
          </cell>
          <cell r="F399">
            <v>4.3073701084700898E-7</v>
          </cell>
          <cell r="I399">
            <v>1.5985819441651201E-8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E400">
            <v>3.2433737461286201E-7</v>
          </cell>
          <cell r="F400">
            <v>7.5507438545987104E-7</v>
          </cell>
          <cell r="G400">
            <v>-1.5522621905415012E-8</v>
          </cell>
          <cell r="H400">
            <v>-9.0443133963326902E-9</v>
          </cell>
          <cell r="I400">
            <v>1.5985819441651201E-8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45.349830601181864</v>
          </cell>
          <cell r="E401">
            <v>65.896733646647647</v>
          </cell>
          <cell r="F401">
            <v>114.58918021186216</v>
          </cell>
          <cell r="G401">
            <v>1.9601369277289621E-3</v>
          </cell>
          <cell r="H401">
            <v>2.1988994357301103E-2</v>
          </cell>
          <cell r="I401">
            <v>1.1558850879800169E-2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3.5852677729992163E-2</v>
          </cell>
          <cell r="E402">
            <v>5.2306931882799321E-2</v>
          </cell>
          <cell r="F402">
            <v>9.4162620752412024E-2</v>
          </cell>
          <cell r="G402">
            <v>1.7321988709804051E-6</v>
          </cell>
          <cell r="H402">
            <v>2.2020052723856845E-5</v>
          </cell>
          <cell r="I402">
            <v>1.2494582243706952E-5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0.61868800274463631</v>
          </cell>
          <cell r="E403">
            <v>0.89900045902656955</v>
          </cell>
          <cell r="F403">
            <v>1.5632903166693324</v>
          </cell>
          <cell r="G403">
            <v>2.6741295057693844E-5</v>
          </cell>
          <cell r="H403">
            <v>2.999862804543129E-4</v>
          </cell>
          <cell r="I403">
            <v>1.576923721664417E-4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4.3546884998322299E-5</v>
          </cell>
          <cell r="F404">
            <v>7.8144841977435104E-4</v>
          </cell>
          <cell r="G404">
            <v>1.9945800108900202E-8</v>
          </cell>
          <cell r="H404">
            <v>2.1820344170173201E-8</v>
          </cell>
          <cell r="I404">
            <v>2.0508017509080602E-8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8.0643866247287498E-4</v>
          </cell>
          <cell r="E405">
            <v>9.9530389121964052E-4</v>
          </cell>
          <cell r="F405">
            <v>1.7772027977813176E-3</v>
          </cell>
          <cell r="G405">
            <v>-2.5871871599074392E-8</v>
          </cell>
          <cell r="H405">
            <v>-8.6920559737005792E-8</v>
          </cell>
          <cell r="I405">
            <v>2.4525043115222838E-8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0.91678872016548896</v>
          </cell>
          <cell r="E406">
            <v>0.28489549498647432</v>
          </cell>
          <cell r="F406">
            <v>0.32190056512043308</v>
          </cell>
          <cell r="H406">
            <v>2.8074569309851402E-2</v>
          </cell>
          <cell r="I406">
            <v>1.167654317749856E-2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4.8336505062149721E-4</v>
          </cell>
          <cell r="E407">
            <v>1.5132621007983788E-4</v>
          </cell>
          <cell r="F407">
            <v>1.7281320823257651E-4</v>
          </cell>
          <cell r="H407">
            <v>1.8809021920997917E-5</v>
          </cell>
          <cell r="I407">
            <v>8.4759552309262062E-6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1.2507349524767919E-2</v>
          </cell>
          <cell r="E408">
            <v>3.8867052522029324E-3</v>
          </cell>
          <cell r="F408">
            <v>4.3915493195147677E-3</v>
          </cell>
          <cell r="H408">
            <v>3.8300913110302071E-4</v>
          </cell>
          <cell r="I408">
            <v>1.5929799696450968E-4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3.7121748494885599E-7</v>
          </cell>
          <cell r="F409">
            <v>3.9357832597596599E-7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9.7292374147127904E-6</v>
          </cell>
          <cell r="E410">
            <v>3.204046993045887E-6</v>
          </cell>
          <cell r="F410">
            <v>3.1780339716206113E-6</v>
          </cell>
          <cell r="G410">
            <v>-2.0945308349780891E-8</v>
          </cell>
          <cell r="H410">
            <v>-7.2085641590434595E-8</v>
          </cell>
          <cell r="I410">
            <v>-3.2801172477139598E-9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8.0514733596984793E-3</v>
          </cell>
          <cell r="E411">
            <v>8.0963820176709299E-3</v>
          </cell>
          <cell r="F411">
            <v>7.9075687687454495E-3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1.4204639987591653E-3</v>
          </cell>
          <cell r="E412">
            <v>1.1450922107499198E-3</v>
          </cell>
          <cell r="F412">
            <v>7.0335575599013943E-4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1.4275661985281004E-4</v>
          </cell>
          <cell r="E413">
            <v>1.4355287265373985E-4</v>
          </cell>
          <cell r="F413">
            <v>1.4020512001321734E-4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1.4717212786722197E-5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1.2695260574470599</v>
          </cell>
          <cell r="E415">
            <v>1.26910842365733</v>
          </cell>
          <cell r="F415">
            <v>1.2618716926605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0.24193184387049138</v>
          </cell>
          <cell r="E416">
            <v>0.1937354874235738</v>
          </cell>
          <cell r="F416">
            <v>0.12086717125706119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1.7319591506781178E-2</v>
          </cell>
          <cell r="E417">
            <v>1.7313893910741208E-2</v>
          </cell>
          <cell r="F417">
            <v>1.7215166339160915E-2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2.2803233438013406E-3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3.4051699070765364E-2</v>
          </cell>
          <cell r="E419">
            <v>7.7152972696051605E-2</v>
          </cell>
          <cell r="F419">
            <v>2.7908736713529385E-2</v>
          </cell>
          <cell r="G419">
            <v>1.7292737039623312</v>
          </cell>
          <cell r="H419">
            <v>5.6855658636936184</v>
          </cell>
          <cell r="I419">
            <v>6.617061872241206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3.4051699070765364E-2</v>
          </cell>
          <cell r="E420">
            <v>7.7152972696051605E-2</v>
          </cell>
          <cell r="F420">
            <v>2.7908736713529385E-2</v>
          </cell>
          <cell r="G420">
            <v>1.7292737039623312</v>
          </cell>
          <cell r="H420">
            <v>5.6855658636936184</v>
          </cell>
          <cell r="I420">
            <v>6.617061872241206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3.8641586838644298E-3</v>
          </cell>
          <cell r="E421">
            <v>4.9078774531839701E-3</v>
          </cell>
          <cell r="F421">
            <v>2.5134397716410901E-3</v>
          </cell>
          <cell r="G421">
            <v>0.17321492208044201</v>
          </cell>
          <cell r="H421">
            <v>0.494741065739632</v>
          </cell>
          <cell r="I421">
            <v>0.43805252801872901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3.8641586838644298E-3</v>
          </cell>
          <cell r="E422">
            <v>8.7720361370484008E-3</v>
          </cell>
          <cell r="F422">
            <v>1.12854759086895E-2</v>
          </cell>
          <cell r="G422">
            <v>0.182813360352413</v>
          </cell>
          <cell r="H422">
            <v>0.60098060681572096</v>
          </cell>
          <cell r="I422">
            <v>0.69942760237836499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H423">
            <v>1.5264297805215761E-5</v>
          </cell>
          <cell r="I423">
            <v>1.0755917777636086E-4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H424">
            <v>5.8607500752670615E-5</v>
          </cell>
          <cell r="I424">
            <v>3.5793443937113558E-4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1.32831517690407E-7</v>
          </cell>
          <cell r="H425">
            <v>1.7900315585051199E-7</v>
          </cell>
          <cell r="I425">
            <v>2.5099423728495002E-6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1.32831517690407E-7</v>
          </cell>
          <cell r="H426">
            <v>2.9134296042719392E-7</v>
          </cell>
          <cell r="I426">
            <v>2.6512027471806421E-6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H427">
            <v>1.7070869032508821E-5</v>
          </cell>
          <cell r="I427">
            <v>1.1854231272488819E-4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H428">
            <v>9.0823525870055828E-5</v>
          </cell>
          <cell r="I428">
            <v>5.4721955216816107E-4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7.4190693173506603E-8</v>
          </cell>
          <cell r="H429">
            <v>1.8900899749406999E-7</v>
          </cell>
          <cell r="I429">
            <v>2.5518533387338998E-6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7.4190693173506603E-8</v>
          </cell>
          <cell r="H430">
            <v>2.9014975796280732E-7</v>
          </cell>
          <cell r="I430">
            <v>2.67776021340457E-6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H431">
            <v>1.672221553169146E-5</v>
          </cell>
          <cell r="I431">
            <v>1.2960284581470865E-4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H432">
            <v>1.3151883242637095E-4</v>
          </cell>
          <cell r="I432">
            <v>8.8740593100454642E-4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H433">
            <v>2.6716630614117601E-7</v>
          </cell>
          <cell r="I433">
            <v>2.8708024566886599E-6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H434">
            <v>3.8737944546347898E-7</v>
          </cell>
          <cell r="I434">
            <v>2.9623125929562099E-6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92.552951779097498</v>
          </cell>
          <cell r="E435">
            <v>91.725322437131297</v>
          </cell>
          <cell r="F435">
            <v>1.0213904133448599E-3</v>
          </cell>
          <cell r="G435">
            <v>1.76597079377548E-3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0.6192712321776187</v>
          </cell>
          <cell r="E436">
            <v>0.62769975847157344</v>
          </cell>
          <cell r="F436">
            <v>7.2229117947677525E-6</v>
          </cell>
          <cell r="G436">
            <v>1.3160542117870271E-5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1.254105037657145</v>
          </cell>
          <cell r="E437">
            <v>1.2428905479286081</v>
          </cell>
          <cell r="F437">
            <v>1.3839978500607933E-5</v>
          </cell>
          <cell r="G437">
            <v>2.3929143547093162E-5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-1.1010918209847231E-7</v>
          </cell>
          <cell r="G438">
            <v>1.6829525627017061E-6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H439">
            <v>9.9368349373945906E-6</v>
          </cell>
          <cell r="I439">
            <v>1.2331730251519313E-5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H440">
            <v>1.1676321632818858E-4</v>
          </cell>
          <cell r="I440">
            <v>1.2637743010835434E-4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H441">
            <v>9.1993570965126094E-8</v>
          </cell>
          <cell r="I441">
            <v>2.4936023039956301E-7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H442">
            <v>1.3550289826707401E-7</v>
          </cell>
          <cell r="I442">
            <v>2.65504056718758E-7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2.59675327553198</v>
          </cell>
          <cell r="E446">
            <v>3.4309948688954401</v>
          </cell>
          <cell r="F446">
            <v>3.0999343763216798</v>
          </cell>
          <cell r="G446">
            <v>3.2318780880308302</v>
          </cell>
          <cell r="H446">
            <v>1.69919792921489</v>
          </cell>
          <cell r="I446">
            <v>1.3322197946430401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3.68983499838113</v>
          </cell>
          <cell r="E447">
            <v>7.1208298672765702</v>
          </cell>
          <cell r="F447">
            <v>8.5460404512647106</v>
          </cell>
          <cell r="G447">
            <v>8.4018464795650907</v>
          </cell>
          <cell r="H447">
            <v>4.6882624062799341</v>
          </cell>
          <cell r="I447">
            <v>2.4866950591383197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32.4123380095361</v>
          </cell>
          <cell r="E448">
            <v>40.639961474975209</v>
          </cell>
          <cell r="F448">
            <v>116.20312672286934</v>
          </cell>
          <cell r="G448">
            <v>5.3284218953822053</v>
          </cell>
          <cell r="H448">
            <v>0.18890190754497221</v>
          </cell>
          <cell r="I448">
            <v>5.5612062456381298E-2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0.30360322665182948</v>
          </cell>
          <cell r="E449">
            <v>0.37230443062173485</v>
          </cell>
          <cell r="F449">
            <v>0.97306776793528027</v>
          </cell>
          <cell r="G449">
            <v>6.269328854375622E-2</v>
          </cell>
          <cell r="H449">
            <v>1.6055492206253513E-3</v>
          </cell>
          <cell r="I449">
            <v>4.7335209772986198E-4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0.43919157194493441</v>
          </cell>
          <cell r="E450">
            <v>0.55067698475576099</v>
          </cell>
          <cell r="F450">
            <v>1.5745681127760083</v>
          </cell>
          <cell r="G450">
            <v>7.2200838690815713E-2</v>
          </cell>
          <cell r="H450">
            <v>2.5596464436988091E-3</v>
          </cell>
          <cell r="I450">
            <v>7.5355098179378426E-4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4.6784793729988099E-5</v>
          </cell>
          <cell r="F451">
            <v>0.109919459220656</v>
          </cell>
          <cell r="G451">
            <v>6.8233559713375496E-6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3.6529413268684689E-2</v>
          </cell>
          <cell r="E452">
            <v>3.9786692046302377E-2</v>
          </cell>
          <cell r="F452">
            <v>0.1477861974733094</v>
          </cell>
          <cell r="G452">
            <v>6.7260115891057959E-3</v>
          </cell>
          <cell r="H452">
            <v>2.3165848125194025E-4</v>
          </cell>
          <cell r="I452">
            <v>6.7041708411618047E-5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0.20090855746624137</v>
          </cell>
          <cell r="H453">
            <v>9.8409634555642833E-2</v>
          </cell>
          <cell r="I453">
            <v>2.4486076021691234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2.8136267446004495E-3</v>
          </cell>
          <cell r="H454">
            <v>1.3923175588526611E-3</v>
          </cell>
          <cell r="I454">
            <v>7.8211380162713263E-3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2.8713968841130402E-3</v>
          </cell>
          <cell r="H455">
            <v>1.4486984179260902E-3</v>
          </cell>
          <cell r="I455">
            <v>1.0095790253570389E-2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5.372535047926954E-4</v>
          </cell>
          <cell r="H456">
            <v>1.1324558564695343E-3</v>
          </cell>
          <cell r="I456">
            <v>4.4420350024894709E-3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7.347926455754611E-5</v>
          </cell>
          <cell r="H457">
            <v>1.6438882326801946E-3</v>
          </cell>
          <cell r="I457">
            <v>1.9877316476267794E-3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2.4545997312924426E-2</v>
          </cell>
          <cell r="H458">
            <v>2.040285652891655E-3</v>
          </cell>
          <cell r="I458">
            <v>0.73228167267015698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2.0754041148192477E-2</v>
          </cell>
          <cell r="H459">
            <v>1.802137686131193E-3</v>
          </cell>
          <cell r="I459">
            <v>0.34793372133297057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5.1135986125568711E-3</v>
          </cell>
          <cell r="H460">
            <v>1.8402083816249032E-3</v>
          </cell>
          <cell r="I460">
            <v>0.34513900406546794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2.5293888941708562E-2</v>
          </cell>
          <cell r="H461">
            <v>1.7691751906243425E-3</v>
          </cell>
          <cell r="I461">
            <v>0.33118162499553466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5.5495366023550772E-3</v>
          </cell>
          <cell r="H462">
            <v>9.265515049518518E-3</v>
          </cell>
          <cell r="I462">
            <v>1.2505217892801384E-2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1.5338214243904384E-2</v>
          </cell>
          <cell r="H463">
            <v>9.8317513569246224E-4</v>
          </cell>
          <cell r="I463">
            <v>2.5518495954019627E-3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3.4771448820685455E-3</v>
          </cell>
          <cell r="H464">
            <v>1.9095889368369325E-3</v>
          </cell>
          <cell r="I464">
            <v>0.33210517597120687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6.2695304116096385E-3</v>
          </cell>
          <cell r="H465">
            <v>2.6946619914766292E-3</v>
          </cell>
          <cell r="I465">
            <v>1.0935837770453051E-2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1.6729343045405649E-2</v>
          </cell>
          <cell r="H466">
            <v>3.3719979004615858E-3</v>
          </cell>
          <cell r="I466">
            <v>4.7049715970747384E-2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1.8394594327235166E-2</v>
          </cell>
          <cell r="H467">
            <v>1.1879346260011834E-2</v>
          </cell>
          <cell r="I467">
            <v>2.6324687003850111E-2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1.914610207631294E-2</v>
          </cell>
          <cell r="H468">
            <v>2.287612883218286E-2</v>
          </cell>
          <cell r="I468">
            <v>3.8641960955235144E-2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1.9256191324479265E-2</v>
          </cell>
          <cell r="H469">
            <v>2.4125229273423549E-2</v>
          </cell>
          <cell r="I469">
            <v>5.9886594613310876E-2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1.1567032993278143E-3</v>
          </cell>
          <cell r="H470">
            <v>1.1166082003438696E-3</v>
          </cell>
          <cell r="I470">
            <v>1.6033232962135826E-3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1.2063437366109239E-3</v>
          </cell>
          <cell r="H471">
            <v>1.1927959981520827E-3</v>
          </cell>
          <cell r="I471">
            <v>1.6448186919125892E-3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4.7197018134607926E-4</v>
          </cell>
          <cell r="H472">
            <v>5.0394337760204715E-4</v>
          </cell>
          <cell r="I472">
            <v>6.2508267797474135E-4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3.1854821383825549E-3</v>
          </cell>
          <cell r="H473">
            <v>1.6574703383894296E-3</v>
          </cell>
          <cell r="I473">
            <v>1.5050096763178239E-3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2.6964364586623576E-3</v>
          </cell>
          <cell r="H474">
            <v>1.2899679459875632E-3</v>
          </cell>
          <cell r="I474">
            <v>2.8994166471589524E-3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6.581450721627885E-3</v>
          </cell>
          <cell r="H475">
            <v>2.9849610772024323E-3</v>
          </cell>
          <cell r="I475">
            <v>0.12988082814684018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3.7366444659736299E-2</v>
          </cell>
          <cell r="H476">
            <v>7.8381522889640801E-2</v>
          </cell>
          <cell r="I476">
            <v>3.1634901230143702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3.7366444659736299E-2</v>
          </cell>
          <cell r="H477">
            <v>0.47098897642658538</v>
          </cell>
          <cell r="I477">
            <v>3.3756648292414226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4.11588740958004</v>
          </cell>
          <cell r="F478">
            <v>9.1227237926878608</v>
          </cell>
          <cell r="G478">
            <v>16.150627874489501</v>
          </cell>
          <cell r="H478">
            <v>1.6280418053774301E-3</v>
          </cell>
          <cell r="I478">
            <v>4.5025795689963101E-4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1.6681129589487371</v>
          </cell>
          <cell r="F479">
            <v>3.6973153697237162</v>
          </cell>
          <cell r="G479">
            <v>6.5456289182952911</v>
          </cell>
          <cell r="H479">
            <v>6.5982311054943986E-4</v>
          </cell>
          <cell r="I479">
            <v>1.824834010342112E-4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1.17678643888009E-4</v>
          </cell>
          <cell r="E480">
            <v>4.1225102714764699</v>
          </cell>
          <cell r="F480">
            <v>5.0001125308336301</v>
          </cell>
          <cell r="G480">
            <v>7.0278673238492102</v>
          </cell>
          <cell r="H480">
            <v>2.1417701571678201E-6</v>
          </cell>
          <cell r="I480">
            <v>1.12835763677243E-6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1.17678643888009E-4</v>
          </cell>
          <cell r="E481">
            <v>4.1226279501203598</v>
          </cell>
          <cell r="F481">
            <v>9.1227291397029457</v>
          </cell>
          <cell r="G481">
            <v>16.150581716412695</v>
          </cell>
          <cell r="H481">
            <v>-3.4415490013373073E-7</v>
          </cell>
          <cell r="I481">
            <v>6.9179352002457506E-7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27.019429669489782</v>
          </cell>
          <cell r="E482">
            <v>42.361475889098266</v>
          </cell>
          <cell r="F482">
            <v>1.1277662300103946</v>
          </cell>
          <cell r="G482">
            <v>3.6052151614084947E-2</v>
          </cell>
          <cell r="H482">
            <v>4.7193944724054158E-2</v>
          </cell>
          <cell r="I482">
            <v>4.9811173329626729E-2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0.1285911084484716</v>
          </cell>
          <cell r="E483">
            <v>0.20160711039150531</v>
          </cell>
          <cell r="F483">
            <v>5.367275007715896E-3</v>
          </cell>
          <cell r="G483">
            <v>1.7157971854759259E-4</v>
          </cell>
          <cell r="H483">
            <v>2.2460583877441275E-4</v>
          </cell>
          <cell r="I483">
            <v>2.3706177628199333E-4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0.36611693319091843</v>
          </cell>
          <cell r="E484">
            <v>0.57400373833466412</v>
          </cell>
          <cell r="F484">
            <v>1.5281385230493147E-2</v>
          </cell>
          <cell r="G484">
            <v>4.88511539486246E-4</v>
          </cell>
          <cell r="H484">
            <v>6.3948434585439163E-4</v>
          </cell>
          <cell r="I484">
            <v>6.7494814809792344E-4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2.50028442119962E-5</v>
          </cell>
          <cell r="F485">
            <v>1.30462902176504E-5</v>
          </cell>
          <cell r="G485">
            <v>3.5415453554465399E-6</v>
          </cell>
          <cell r="H485">
            <v>7.6772933252353604E-6</v>
          </cell>
          <cell r="I485">
            <v>1.3875766178789199E-5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1.2434310716039482E-2</v>
          </cell>
          <cell r="E486">
            <v>1.4146345357560994E-2</v>
          </cell>
          <cell r="F486">
            <v>4.3818433541284625E-4</v>
          </cell>
          <cell r="G486">
            <v>1.4848258651304833E-5</v>
          </cell>
          <cell r="H486">
            <v>1.7568175996352419E-5</v>
          </cell>
          <cell r="I486">
            <v>1.9388666776422895E-5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254.3755561108475</v>
          </cell>
          <cell r="E487">
            <v>391.68787851383411</v>
          </cell>
          <cell r="F487">
            <v>582.77107218235892</v>
          </cell>
          <cell r="G487">
            <v>53.784406289235761</v>
          </cell>
          <cell r="H487">
            <v>0.42509620265160758</v>
          </cell>
          <cell r="I487">
            <v>0.12543512710329999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2.0747529448609736</v>
          </cell>
          <cell r="E488">
            <v>3.2081195812579697</v>
          </cell>
          <cell r="F488">
            <v>4.6385857292590877</v>
          </cell>
          <cell r="G488">
            <v>0.47683258424747771</v>
          </cell>
          <cell r="H488">
            <v>2.9062423435509514E-3</v>
          </cell>
          <cell r="I488">
            <v>8.5755306741358225E-4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3.4468232535345229</v>
          </cell>
          <cell r="E489">
            <v>5.3074238281007338</v>
          </cell>
          <cell r="F489">
            <v>7.8966269943409015</v>
          </cell>
          <cell r="G489">
            <v>0.72878599307907566</v>
          </cell>
          <cell r="H489">
            <v>5.7601111470407598E-3</v>
          </cell>
          <cell r="I489">
            <v>1.6996629688793988E-3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4.46707582630432E-5</v>
          </cell>
          <cell r="F490">
            <v>0.113406934029079</v>
          </cell>
          <cell r="G490">
            <v>2.3588551889141599E-6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0.21742237949771487</v>
          </cell>
          <cell r="E491">
            <v>0.2434100980589271</v>
          </cell>
          <cell r="F491">
            <v>0.35196608636273469</v>
          </cell>
          <cell r="G491">
            <v>3.6207296530111177E-2</v>
          </cell>
          <cell r="H491">
            <v>2.84053466236351E-4</v>
          </cell>
          <cell r="I491">
            <v>8.2813305939629975E-5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0.36159569568406996</v>
          </cell>
          <cell r="E492">
            <v>0.44967151731907584</v>
          </cell>
          <cell r="F492">
            <v>0.72627110716941079</v>
          </cell>
          <cell r="G492">
            <v>6.6349719586617673E-2</v>
          </cell>
          <cell r="H492">
            <v>8.8712985594449068E-2</v>
          </cell>
          <cell r="I492">
            <v>2.60470105147389E-2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3.7114553197204413E-3</v>
          </cell>
          <cell r="E493">
            <v>4.7629155652500537E-3</v>
          </cell>
          <cell r="F493">
            <v>7.9430284130067447E-3</v>
          </cell>
          <cell r="G493">
            <v>8.5657389192177332E-4</v>
          </cell>
          <cell r="H493">
            <v>7.8986159826557943E-4</v>
          </cell>
          <cell r="I493">
            <v>2.3143021427145526E-4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4.9330927105602947E-3</v>
          </cell>
          <cell r="E494">
            <v>6.134672814721351E-3</v>
          </cell>
          <cell r="F494">
            <v>9.9082006435117411E-3</v>
          </cell>
          <cell r="G494">
            <v>9.0518034906708947E-4</v>
          </cell>
          <cell r="H494">
            <v>1.2102726547673804E-3</v>
          </cell>
          <cell r="I494">
            <v>3.553480288504624E-4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5.22828982479089E-5</v>
          </cell>
          <cell r="F495">
            <v>6.5220980266712E-4</v>
          </cell>
          <cell r="G495">
            <v>3.4540358741628198E-6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4.443408774176986E-4</v>
          </cell>
          <cell r="E496">
            <v>5.2105894386632399E-4</v>
          </cell>
          <cell r="F496">
            <v>1.1617039664695091E-3</v>
          </cell>
          <cell r="G496">
            <v>1.1568564537959593E-4</v>
          </cell>
          <cell r="H496">
            <v>1.0997103776767749E-4</v>
          </cell>
          <cell r="I496">
            <v>3.1596493313091732E-5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264.21185215353574</v>
          </cell>
          <cell r="E497">
            <v>418.31711591454513</v>
          </cell>
          <cell r="F497">
            <v>410.69861216559451</v>
          </cell>
          <cell r="G497">
            <v>4.7662921591949056E-2</v>
          </cell>
          <cell r="H497">
            <v>0.37701528153493535</v>
          </cell>
          <cell r="I497">
            <v>0.10897288648542899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1.8476212364941189</v>
          </cell>
          <cell r="E498">
            <v>2.9295957292748649</v>
          </cell>
          <cell r="F498">
            <v>2.8765272197261917</v>
          </cell>
          <cell r="G498">
            <v>3.3284206134482166E-4</v>
          </cell>
          <cell r="H498">
            <v>2.3947804056545538E-3</v>
          </cell>
          <cell r="I498">
            <v>6.9245299644696983E-4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3.5801063977443852</v>
          </cell>
          <cell r="E499">
            <v>5.6682536031781288</v>
          </cell>
          <cell r="F499">
            <v>5.5650218450622466</v>
          </cell>
          <cell r="G499">
            <v>6.4583904596136985E-4</v>
          </cell>
          <cell r="H499">
            <v>5.1086081508798821E-3</v>
          </cell>
          <cell r="I499">
            <v>1.4765973778513369E-3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2.3927213047229601E-5</v>
          </cell>
          <cell r="F500">
            <v>8.1744323501911398E-5</v>
          </cell>
          <cell r="G500">
            <v>2.0285896085143399E-6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0.18018929435285924</v>
          </cell>
          <cell r="E501">
            <v>0.20184668192821226</v>
          </cell>
          <cell r="F501">
            <v>0.19879728297409574</v>
          </cell>
          <cell r="G501">
            <v>2.6788409409506109E-5</v>
          </cell>
          <cell r="H501">
            <v>2.0204019165118446E-4</v>
          </cell>
          <cell r="I501">
            <v>5.8867033144645995E-5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87.71966597396667</v>
          </cell>
          <cell r="E502">
            <v>94.103090416435137</v>
          </cell>
          <cell r="F502">
            <v>93.66973849932171</v>
          </cell>
          <cell r="G502">
            <v>30.464413464808203</v>
          </cell>
          <cell r="H502">
            <v>0.13770129071777787</v>
          </cell>
          <cell r="I502">
            <v>4.0263591471052101E-2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0.83665676065798911</v>
          </cell>
          <cell r="E503">
            <v>0.90354348332705225</v>
          </cell>
          <cell r="F503">
            <v>0.89810886890774988</v>
          </cell>
          <cell r="G503">
            <v>0.37586164863220262</v>
          </cell>
          <cell r="H503">
            <v>9.841653449082664E-4</v>
          </cell>
          <cell r="I503">
            <v>2.8707755261908857E-4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1.1967212274756738</v>
          </cell>
          <cell r="E504">
            <v>1.2838075090918846</v>
          </cell>
          <cell r="F504">
            <v>1.2778954774805154</v>
          </cell>
          <cell r="G504">
            <v>0.41561273485413658</v>
          </cell>
          <cell r="H504">
            <v>1.8785987819614992E-3</v>
          </cell>
          <cell r="I504">
            <v>5.4929865581244356E-4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5.5623168661798502E-5</v>
          </cell>
          <cell r="F505">
            <v>2.6224824866843299E-4</v>
          </cell>
          <cell r="G505">
            <v>1.4971684570358399E-6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6.4564373110881562E-2</v>
          </cell>
          <cell r="E506">
            <v>6.8555355150206998E-2</v>
          </cell>
          <cell r="F506">
            <v>6.8194472348010876E-2</v>
          </cell>
          <cell r="G506">
            <v>2.8535014716400429E-2</v>
          </cell>
          <cell r="H506">
            <v>8.9946323223471895E-5</v>
          </cell>
          <cell r="I506">
            <v>2.6015102424344265E-5</v>
          </cell>
        </row>
        <row r="507">
          <cell r="A507" t="str">
            <v>T_C-ICE-GSL-S4</v>
          </cell>
          <cell r="B507" t="str">
            <v>VAR_fout</v>
          </cell>
          <cell r="C507" t="str">
            <v>CO2_T</v>
          </cell>
          <cell r="D507">
            <v>245.97108911628081</v>
          </cell>
          <cell r="E507">
            <v>387.7750961371471</v>
          </cell>
          <cell r="F507">
            <v>551.94041217697111</v>
          </cell>
          <cell r="G507">
            <v>1.7122811109152761E-2</v>
          </cell>
          <cell r="H507">
            <v>1.2239555785364213</v>
          </cell>
          <cell r="I507">
            <v>0.35822157323628601</v>
          </cell>
        </row>
        <row r="508">
          <cell r="A508" t="str">
            <v>T_C-ICE-GSL-S4</v>
          </cell>
          <cell r="B508" t="str">
            <v>VAR_fout</v>
          </cell>
          <cell r="C508" t="str">
            <v>TPCAR</v>
          </cell>
          <cell r="D508">
            <v>1.447254160234194</v>
          </cell>
          <cell r="E508">
            <v>2.2767312476262429</v>
          </cell>
          <cell r="F508">
            <v>3.24369834871167</v>
          </cell>
          <cell r="G508">
            <v>1.0230794505247347E-4</v>
          </cell>
          <cell r="H508">
            <v>7.8476142559081117E-3</v>
          </cell>
          <cell r="I508">
            <v>2.297370172204737E-3</v>
          </cell>
        </row>
        <row r="509">
          <cell r="A509" t="str">
            <v>T_C-ICE-GSL-S4</v>
          </cell>
          <cell r="B509" t="str">
            <v>VAR_fin</v>
          </cell>
          <cell r="C509" t="str">
            <v>TGSL</v>
          </cell>
          <cell r="D509">
            <v>3.3329415869414727</v>
          </cell>
          <cell r="E509">
            <v>5.2544050967093137</v>
          </cell>
          <cell r="F509">
            <v>7.4788673736716831</v>
          </cell>
          <cell r="G509">
            <v>2.3201641069312668E-4</v>
          </cell>
          <cell r="H509">
            <v>1.6584763936807939E-2</v>
          </cell>
          <cell r="I509">
            <v>4.8539508568602417E-3</v>
          </cell>
        </row>
        <row r="510">
          <cell r="A510" t="str">
            <v>T_C-ICE-GSL-S4</v>
          </cell>
          <cell r="B510" t="str">
            <v>VAR_ncap</v>
          </cell>
          <cell r="C510" t="str">
            <v>-</v>
          </cell>
          <cell r="E510">
            <v>7.0153789343619795E-5</v>
          </cell>
          <cell r="F510">
            <v>8.0337202423762799E-2</v>
          </cell>
          <cell r="G510">
            <v>2.8400823530608398E-6</v>
          </cell>
        </row>
        <row r="511">
          <cell r="A511" t="str">
            <v>T_C-ICE-GSL-S4</v>
          </cell>
          <cell r="B511" t="str">
            <v>VAR_cap</v>
          </cell>
          <cell r="C511" t="str">
            <v>-</v>
          </cell>
          <cell r="D511">
            <v>0.15706987599881739</v>
          </cell>
          <cell r="E511">
            <v>0.17932872947517289</v>
          </cell>
          <cell r="F511">
            <v>0.25569549305190237</v>
          </cell>
          <cell r="G511">
            <v>9.1146860969615329E-6</v>
          </cell>
          <cell r="H511">
            <v>8.3889698419171987E-4</v>
          </cell>
          <cell r="I511">
            <v>2.4548923733719275E-4</v>
          </cell>
        </row>
        <row r="512">
          <cell r="A512" t="str">
            <v>T_C-ICE-DSL-S3</v>
          </cell>
          <cell r="B512" t="str">
            <v>VAR_fout</v>
          </cell>
          <cell r="C512" t="str">
            <v>CO2_T</v>
          </cell>
          <cell r="D512">
            <v>317.45138132971022</v>
          </cell>
          <cell r="E512">
            <v>388.91452633789601</v>
          </cell>
          <cell r="F512">
            <v>344.16207565762812</v>
          </cell>
          <cell r="G512">
            <v>1.858694525867411E-2</v>
          </cell>
          <cell r="H512">
            <v>0.14116153943526605</v>
          </cell>
          <cell r="I512">
            <v>4.0865118008807801E-2</v>
          </cell>
        </row>
        <row r="513">
          <cell r="A513" t="str">
            <v>T_C-ICE-DSL-S3</v>
          </cell>
          <cell r="B513" t="str">
            <v>VAR_fout</v>
          </cell>
          <cell r="C513" t="str">
            <v>TPCAR</v>
          </cell>
          <cell r="D513">
            <v>2.3248710025329706</v>
          </cell>
          <cell r="E513">
            <v>2.8265626172316134</v>
          </cell>
          <cell r="F513">
            <v>2.5447703965814119</v>
          </cell>
          <cell r="G513">
            <v>1.4311837705870869E-4</v>
          </cell>
          <cell r="H513">
            <v>9.3566531941392968E-4</v>
          </cell>
          <cell r="I513">
            <v>2.7082299825524815E-4</v>
          </cell>
        </row>
        <row r="514">
          <cell r="A514" t="str">
            <v>T_C-ICE-DSL-S3</v>
          </cell>
          <cell r="B514" t="str">
            <v>VAR_fin</v>
          </cell>
          <cell r="C514" t="str">
            <v>TDSL</v>
          </cell>
          <cell r="D514">
            <v>4.3308510413330197</v>
          </cell>
          <cell r="E514">
            <v>5.3057916280749806</v>
          </cell>
          <cell r="F514">
            <v>4.6952534196129356</v>
          </cell>
          <cell r="G514">
            <v>2.5357360516608613E-4</v>
          </cell>
          <cell r="H514">
            <v>1.9258054493215045E-3</v>
          </cell>
          <cell r="I514">
            <v>5.5750502058400815E-4</v>
          </cell>
        </row>
        <row r="515">
          <cell r="A515" t="str">
            <v>T_C-ICE-DSL-S3</v>
          </cell>
          <cell r="B515" t="str">
            <v>VAR_ncap</v>
          </cell>
          <cell r="C515" t="str">
            <v>-</v>
          </cell>
          <cell r="E515">
            <v>2.3356825940853601E-5</v>
          </cell>
          <cell r="F515">
            <v>5.4126104882731403E-5</v>
          </cell>
          <cell r="G515">
            <v>1.22269735986036E-6</v>
          </cell>
        </row>
        <row r="516">
          <cell r="A516" t="str">
            <v>T_C-ICE-DSL-S3</v>
          </cell>
          <cell r="B516" t="str">
            <v>VAR_cap</v>
          </cell>
          <cell r="C516" t="str">
            <v>-</v>
          </cell>
          <cell r="D516">
            <v>0.18321420848032502</v>
          </cell>
          <cell r="E516">
            <v>0.19494784941273413</v>
          </cell>
          <cell r="F516">
            <v>0.19297116232404082</v>
          </cell>
          <cell r="G516">
            <v>1.0149986463647842E-5</v>
          </cell>
          <cell r="H516">
            <v>7.5821371244461216E-5</v>
          </cell>
          <cell r="I516">
            <v>2.2005386982821571E-5</v>
          </cell>
        </row>
        <row r="517">
          <cell r="A517" t="str">
            <v>T_C-ICE-DSL-S4</v>
          </cell>
          <cell r="B517" t="str">
            <v>VAR_fout</v>
          </cell>
          <cell r="C517" t="str">
            <v>CO2_T</v>
          </cell>
          <cell r="D517">
            <v>140.96177806147401</v>
          </cell>
          <cell r="E517">
            <v>162.02921425411472</v>
          </cell>
          <cell r="F517">
            <v>159.16308332328012</v>
          </cell>
          <cell r="G517">
            <v>9.2160631061531106E-3</v>
          </cell>
          <cell r="H517">
            <v>0.13024487481128341</v>
          </cell>
          <cell r="I517">
            <v>3.8120905754638001E-2</v>
          </cell>
        </row>
        <row r="518">
          <cell r="A518" t="str">
            <v>T_C-ICE-DSL-S4</v>
          </cell>
          <cell r="B518" t="str">
            <v>VAR_fout</v>
          </cell>
          <cell r="C518" t="str">
            <v>TPCAR</v>
          </cell>
          <cell r="D518">
            <v>0.89628937605243308</v>
          </cell>
          <cell r="E518">
            <v>1.0073765040480656</v>
          </cell>
          <cell r="F518">
            <v>0.99167128944912253</v>
          </cell>
          <cell r="G518">
            <v>5.69916160719993E-5</v>
          </cell>
          <cell r="H518">
            <v>8.1439471366540343E-4</v>
          </cell>
          <cell r="I518">
            <v>2.3873767376973655E-4</v>
          </cell>
        </row>
        <row r="519">
          <cell r="A519" t="str">
            <v>T_C-ICE-DSL-S4</v>
          </cell>
          <cell r="B519" t="str">
            <v>VAR_fin</v>
          </cell>
          <cell r="C519" t="str">
            <v>TDSL</v>
          </cell>
          <cell r="D519">
            <v>1.9230801918345688</v>
          </cell>
          <cell r="E519">
            <v>2.2104940553085233</v>
          </cell>
          <cell r="F519">
            <v>2.1713926783530635</v>
          </cell>
          <cell r="G519">
            <v>1.2573073814669996E-4</v>
          </cell>
          <cell r="H519">
            <v>1.7768741447651212E-3</v>
          </cell>
          <cell r="I519">
            <v>5.2006692707555165E-4</v>
          </cell>
        </row>
        <row r="520">
          <cell r="A520" t="str">
            <v>T_C-ICE-DSL-S4</v>
          </cell>
          <cell r="B520" t="str">
            <v>VAR_ncap</v>
          </cell>
          <cell r="C520" t="str">
            <v>-</v>
          </cell>
          <cell r="E520">
            <v>4.00104380888167E-5</v>
          </cell>
          <cell r="F520">
            <v>7.8547494895361296E-5</v>
          </cell>
          <cell r="G520">
            <v>1.39925125941451E-6</v>
          </cell>
        </row>
        <row r="521">
          <cell r="A521" t="str">
            <v>T_C-ICE-DSL-S4</v>
          </cell>
          <cell r="B521" t="str">
            <v>VAR_cap</v>
          </cell>
          <cell r="C521" t="str">
            <v>-</v>
          </cell>
          <cell r="D521">
            <v>7.1258673336617062E-2</v>
          </cell>
          <cell r="E521">
            <v>7.9373279551385109E-2</v>
          </cell>
          <cell r="F521">
            <v>7.8316127761404106E-2</v>
          </cell>
          <cell r="G521">
            <v>4.5348221176452763E-6</v>
          </cell>
          <cell r="H521">
            <v>7.7277322434772552E-5</v>
          </cell>
          <cell r="I521">
            <v>2.2489613915672795E-5</v>
          </cell>
        </row>
        <row r="522">
          <cell r="A522" t="str">
            <v>TFLGV-ICENGAExt</v>
          </cell>
          <cell r="B522" t="str">
            <v>VAR_fout</v>
          </cell>
          <cell r="C522" t="str">
            <v>CO2_T</v>
          </cell>
          <cell r="D522">
            <v>5.8740324093792804</v>
          </cell>
          <cell r="E522">
            <v>1.8641933843908101</v>
          </cell>
          <cell r="F522">
            <v>3.8046924878522099</v>
          </cell>
          <cell r="G522">
            <v>1.98037220726833E-2</v>
          </cell>
        </row>
        <row r="523">
          <cell r="A523" t="str">
            <v>TFLGV-ICENGAExt</v>
          </cell>
          <cell r="B523" t="str">
            <v>VAR_fout</v>
          </cell>
          <cell r="C523" t="str">
            <v>TFLGV</v>
          </cell>
          <cell r="D523">
            <v>2.8910160334195925E-2</v>
          </cell>
          <cell r="E523">
            <v>9.2604910512779567E-3</v>
          </cell>
          <cell r="F523">
            <v>1.9161818805545048E-2</v>
          </cell>
          <cell r="G523">
            <v>9.9738766074718607E-5</v>
          </cell>
        </row>
        <row r="524">
          <cell r="A524" t="str">
            <v>TFLGV-ICENGAExt</v>
          </cell>
          <cell r="B524" t="str">
            <v>VAR_fin</v>
          </cell>
          <cell r="C524" t="str">
            <v>TNGA</v>
          </cell>
          <cell r="D524">
            <v>0.10414951080459703</v>
          </cell>
          <cell r="E524">
            <v>3.3053074191326477E-2</v>
          </cell>
          <cell r="F524">
            <v>6.7459086664046097E-2</v>
          </cell>
          <cell r="G524">
            <v>3.5112982398374586E-4</v>
          </cell>
        </row>
        <row r="525">
          <cell r="A525" t="str">
            <v>TFLGV-ICENGAExt</v>
          </cell>
          <cell r="B525" t="str">
            <v>VAR_cap</v>
          </cell>
          <cell r="C525" t="str">
            <v>-</v>
          </cell>
          <cell r="D525">
            <v>2.085E-3</v>
          </cell>
          <cell r="E525">
            <v>1.807E-3</v>
          </cell>
          <cell r="F525">
            <v>1.3898437695861192E-3</v>
          </cell>
          <cell r="G525">
            <v>1.9001542655685947E-5</v>
          </cell>
        </row>
        <row r="526">
          <cell r="A526" t="str">
            <v>D-TGSL</v>
          </cell>
          <cell r="B526" t="str">
            <v>VAR_fout</v>
          </cell>
          <cell r="C526" t="str">
            <v>CO2</v>
          </cell>
          <cell r="D526">
            <v>5802.7066787600197</v>
          </cell>
          <cell r="E526">
            <v>5859.4592382193196</v>
          </cell>
          <cell r="F526">
            <v>5333.9659886400996</v>
          </cell>
          <cell r="G526">
            <v>1849.9343188973201</v>
          </cell>
          <cell r="H526">
            <v>813.08191870668099</v>
          </cell>
          <cell r="I526">
            <v>76.037869228621901</v>
          </cell>
        </row>
        <row r="527">
          <cell r="A527" t="str">
            <v>D-TGSL</v>
          </cell>
          <cell r="B527" t="str">
            <v>VAR_fout</v>
          </cell>
          <cell r="C527" t="str">
            <v>TGSL</v>
          </cell>
          <cell r="D527">
            <v>81.958605950025373</v>
          </cell>
          <cell r="E527">
            <v>82.761286902728997</v>
          </cell>
          <cell r="F527">
            <v>75.340823509238021</v>
          </cell>
          <cell r="G527">
            <v>32.033336523749178</v>
          </cell>
          <cell r="H527">
            <v>16.355827257588025</v>
          </cell>
          <cell r="I527">
            <v>4.7664012336663264</v>
          </cell>
        </row>
        <row r="528">
          <cell r="A528" t="str">
            <v>D-TGSL</v>
          </cell>
          <cell r="B528" t="str">
            <v>VAR_fin</v>
          </cell>
          <cell r="C528" t="str">
            <v>GSL</v>
          </cell>
          <cell r="D528">
            <v>78.627461771816002</v>
          </cell>
          <cell r="E528">
            <v>79.396466642538186</v>
          </cell>
          <cell r="F528">
            <v>72.275961905692427</v>
          </cell>
          <cell r="G528">
            <v>25.066860689665642</v>
          </cell>
          <cell r="H528">
            <v>11.01737017217725</v>
          </cell>
          <cell r="I528">
            <v>1.0303234312821401</v>
          </cell>
        </row>
        <row r="529">
          <cell r="A529" t="str">
            <v>D-TGSL</v>
          </cell>
          <cell r="B529" t="str">
            <v>VAR_fin</v>
          </cell>
          <cell r="C529" t="str">
            <v>ETH</v>
          </cell>
          <cell r="D529">
            <v>4.5535816761090224</v>
          </cell>
          <cell r="E529">
            <v>4.5992298121418136</v>
          </cell>
          <cell r="F529">
            <v>4.1885927062406196</v>
          </cell>
          <cell r="G529">
            <v>7.4442649731426984</v>
          </cell>
          <cell r="H529">
            <v>5.5824091812808838</v>
          </cell>
          <cell r="I529">
            <v>3.8071780471233878</v>
          </cell>
        </row>
        <row r="530">
          <cell r="A530" t="str">
            <v>T_TW-BEVELC-S1</v>
          </cell>
          <cell r="B530" t="str">
            <v>VAR_fout</v>
          </cell>
          <cell r="C530" t="str">
            <v>TPTWL</v>
          </cell>
          <cell r="D530">
            <v>4.3349988064151954E-2</v>
          </cell>
          <cell r="E530">
            <v>0.30033956598766914</v>
          </cell>
          <cell r="F530">
            <v>0.63911806681797445</v>
          </cell>
          <cell r="G530">
            <v>1.9357195245020893</v>
          </cell>
          <cell r="H530">
            <v>1.0428977323682032</v>
          </cell>
          <cell r="I530">
            <v>1.5190459411483388</v>
          </cell>
        </row>
        <row r="531">
          <cell r="A531" t="str">
            <v>T_TW-BEVELC-S1</v>
          </cell>
          <cell r="B531" t="str">
            <v>VAR_fin</v>
          </cell>
          <cell r="C531" t="str">
            <v>T-ELC-TWSTGout_S1</v>
          </cell>
          <cell r="D531">
            <v>3.9057818846448536E-3</v>
          </cell>
          <cell r="E531">
            <v>2.694385584366946E-2</v>
          </cell>
          <cell r="F531">
            <v>5.7080122991856767E-2</v>
          </cell>
          <cell r="G531">
            <v>0.17069607633816236</v>
          </cell>
          <cell r="H531">
            <v>9.0140578061298979E-2</v>
          </cell>
          <cell r="I531">
            <v>0.12809846569454375</v>
          </cell>
        </row>
        <row r="532">
          <cell r="A532" t="str">
            <v>T_TW-BEVELC-S1</v>
          </cell>
          <cell r="B532" t="str">
            <v>VAR_ncap</v>
          </cell>
          <cell r="C532" t="str">
            <v>-</v>
          </cell>
          <cell r="D532">
            <v>9.2843855641871302E-3</v>
          </cell>
          <cell r="E532">
            <v>8.6232865037210393E-2</v>
          </cell>
          <cell r="F532">
            <v>0.117057557304905</v>
          </cell>
          <cell r="G532">
            <v>0.58258808777426596</v>
          </cell>
          <cell r="H532">
            <v>0.252428203091276</v>
          </cell>
          <cell r="I532">
            <v>0.48971530545556302</v>
          </cell>
        </row>
        <row r="533">
          <cell r="A533" t="str">
            <v>T_TW-BEVELC-S1</v>
          </cell>
          <cell r="B533" t="str">
            <v>VAR_cap</v>
          </cell>
          <cell r="C533" t="str">
            <v>-</v>
          </cell>
          <cell r="D533">
            <v>1.5224159636394591E-2</v>
          </cell>
          <cell r="E533">
            <v>0.10340572645460903</v>
          </cell>
          <cell r="F533">
            <v>0.22046216113018616</v>
          </cell>
          <cell r="G533">
            <v>0.78643687628279757</v>
          </cell>
          <cell r="H533">
            <v>0.36054694769605078</v>
          </cell>
          <cell r="I533">
            <v>0.61717405979356632</v>
          </cell>
        </row>
        <row r="534">
          <cell r="A534" t="str">
            <v>T_TW-BEVELC-S2</v>
          </cell>
          <cell r="B534" t="str">
            <v>VAR_fout</v>
          </cell>
          <cell r="C534" t="str">
            <v>TPTWL</v>
          </cell>
          <cell r="D534">
            <v>4.9666792175229527E-3</v>
          </cell>
          <cell r="E534">
            <v>8.7022225219555993E-3</v>
          </cell>
          <cell r="F534">
            <v>1.1864926786087767E-2</v>
          </cell>
          <cell r="G534">
            <v>1.2510161836124776E-2</v>
          </cell>
          <cell r="H534">
            <v>1.1503571865171867E-2</v>
          </cell>
          <cell r="I534">
            <v>8.24500690824727E-3</v>
          </cell>
        </row>
        <row r="535">
          <cell r="A535" t="str">
            <v>T_TW-BEVELC-S2</v>
          </cell>
          <cell r="B535" t="str">
            <v>VAR_fin</v>
          </cell>
          <cell r="C535" t="str">
            <v>T-ELC-TWSTGout_S2</v>
          </cell>
          <cell r="D535">
            <v>7.9030312091950034E-4</v>
          </cell>
          <cell r="E535">
            <v>1.3819655042561563E-3</v>
          </cell>
          <cell r="F535">
            <v>1.8780667214194811E-3</v>
          </cell>
          <cell r="G535">
            <v>1.9710648961356915E-3</v>
          </cell>
          <cell r="H535">
            <v>1.758420201068499E-3</v>
          </cell>
          <cell r="I535">
            <v>1.2412888439936591E-3</v>
          </cell>
        </row>
        <row r="536">
          <cell r="A536" t="str">
            <v>T_TW-BEVELC-S2</v>
          </cell>
          <cell r="B536" t="str">
            <v>VAR_ncap</v>
          </cell>
          <cell r="C536" t="str">
            <v>-</v>
          </cell>
          <cell r="D536">
            <v>1.06192023936606E-3</v>
          </cell>
          <cell r="E536">
            <v>1.1029210115718201E-3</v>
          </cell>
          <cell r="F536">
            <v>1.3036282530161901E-3</v>
          </cell>
          <cell r="G536">
            <v>1.20332749400157E-3</v>
          </cell>
          <cell r="H536">
            <v>1.79589376190546E-3</v>
          </cell>
          <cell r="I536">
            <v>1.37767342892661E-3</v>
          </cell>
        </row>
        <row r="537">
          <cell r="A537" t="str">
            <v>T_TW-BEVELC-S2</v>
          </cell>
          <cell r="B537" t="str">
            <v>VAR_cap</v>
          </cell>
          <cell r="C537" t="str">
            <v>-</v>
          </cell>
          <cell r="D537">
            <v>1.8463691398077791E-3</v>
          </cell>
          <cell r="E537">
            <v>3.0640078467688999E-3</v>
          </cell>
          <cell r="F537">
            <v>4.3675503181341141E-3</v>
          </cell>
          <cell r="G537">
            <v>5.4050037678766661E-3</v>
          </cell>
          <cell r="H537">
            <v>4.5355025230633134E-3</v>
          </cell>
          <cell r="I537">
            <v>3.2743430604018262E-3</v>
          </cell>
        </row>
        <row r="538">
          <cell r="A538" t="str">
            <v>T_TW-BEVELC-S3</v>
          </cell>
          <cell r="B538" t="str">
            <v>VAR_fout</v>
          </cell>
          <cell r="C538" t="str">
            <v>TPTWL</v>
          </cell>
          <cell r="D538">
            <v>1.8996377754682526E-3</v>
          </cell>
          <cell r="E538">
            <v>3.5218531705465037E-3</v>
          </cell>
          <cell r="F538">
            <v>4.8570056016866711E-3</v>
          </cell>
          <cell r="G538">
            <v>5.2547550010777922E-3</v>
          </cell>
          <cell r="H538">
            <v>6.9798765475141255E-3</v>
          </cell>
          <cell r="I538">
            <v>4.377777325369708E-3</v>
          </cell>
        </row>
        <row r="539">
          <cell r="A539" t="str">
            <v>T_TW-BEVELC-S3</v>
          </cell>
          <cell r="B539" t="str">
            <v>VAR_fin</v>
          </cell>
          <cell r="C539" t="str">
            <v>T-ELC-TWSTGout_S3</v>
          </cell>
          <cell r="D539">
            <v>4.6444284427552977E-4</v>
          </cell>
          <cell r="E539">
            <v>8.5884155984635531E-4</v>
          </cell>
          <cell r="F539">
            <v>1.1799961057461423E-3</v>
          </cell>
          <cell r="G539">
            <v>1.2700330651827113E-3</v>
          </cell>
          <cell r="H539">
            <v>1.6552620352826288E-3</v>
          </cell>
          <cell r="I539">
            <v>1.0097489942467559E-3</v>
          </cell>
        </row>
        <row r="540">
          <cell r="A540" t="str">
            <v>T_TW-BEVELC-S3</v>
          </cell>
          <cell r="B540" t="str">
            <v>VAR_ncap</v>
          </cell>
          <cell r="C540" t="str">
            <v>-</v>
          </cell>
          <cell r="D540">
            <v>5.8812605230637604E-4</v>
          </cell>
          <cell r="E540">
            <v>4.9971809699699801E-4</v>
          </cell>
          <cell r="F540">
            <v>5.2987076899664403E-4</v>
          </cell>
          <cell r="G540">
            <v>4.8735511221685302E-4</v>
          </cell>
          <cell r="H540">
            <v>5.58873100705604E-4</v>
          </cell>
          <cell r="I540">
            <v>5.2534883970811101E-4</v>
          </cell>
        </row>
        <row r="541">
          <cell r="A541" t="str">
            <v>T_TW-BEVELC-S3</v>
          </cell>
          <cell r="B541" t="str">
            <v>VAR_cap</v>
          </cell>
          <cell r="C541" t="str">
            <v>-</v>
          </cell>
          <cell r="D541">
            <v>6.9498599604935656E-4</v>
          </cell>
          <cell r="E541">
            <v>1.2472286775371824E-3</v>
          </cell>
          <cell r="F541">
            <v>1.7772090421574644E-3</v>
          </cell>
          <cell r="G541">
            <v>2.2632920679214901E-3</v>
          </cell>
          <cell r="H541">
            <v>2.7447159174330935E-3</v>
          </cell>
          <cell r="I541">
            <v>1.7280990018115219E-3</v>
          </cell>
        </row>
        <row r="542">
          <cell r="A542" t="str">
            <v>T_TW-BEVELC-S4</v>
          </cell>
          <cell r="B542" t="str">
            <v>VAR_fout</v>
          </cell>
          <cell r="C542" t="str">
            <v>TPTWL</v>
          </cell>
          <cell r="D542">
            <v>2.305002607873214E-3</v>
          </cell>
          <cell r="E542">
            <v>4.1013896598938024E-3</v>
          </cell>
          <cell r="F542">
            <v>5.6701771715287272E-3</v>
          </cell>
          <cell r="G542">
            <v>5.8089011170584784E-3</v>
          </cell>
          <cell r="H542">
            <v>9.4864475360982008E-3</v>
          </cell>
          <cell r="I542">
            <v>6.1809782405999013E-3</v>
          </cell>
        </row>
        <row r="543">
          <cell r="A543" t="str">
            <v>T_TW-BEVELC-S4</v>
          </cell>
          <cell r="B543" t="str">
            <v>VAR_fin</v>
          </cell>
          <cell r="C543" t="str">
            <v>T-ELC-TWSTGout_S4</v>
          </cell>
          <cell r="D543">
            <v>6.1220979152228387E-4</v>
          </cell>
          <cell r="E543">
            <v>1.086309886499891E-3</v>
          </cell>
          <cell r="F543">
            <v>1.4955297057923742E-3</v>
          </cell>
          <cell r="G543">
            <v>1.5243707802697097E-3</v>
          </cell>
          <cell r="H543">
            <v>2.4558945478221654E-3</v>
          </cell>
          <cell r="I543">
            <v>1.5601321592808705E-3</v>
          </cell>
        </row>
        <row r="544">
          <cell r="A544" t="str">
            <v>T_TW-BEVELC-S4</v>
          </cell>
          <cell r="B544" t="str">
            <v>VAR_ncap</v>
          </cell>
          <cell r="C544" t="str">
            <v>-</v>
          </cell>
          <cell r="D544">
            <v>8.3026538399180803E-4</v>
          </cell>
          <cell r="E544">
            <v>5.8890146155171695E-4</v>
          </cell>
          <cell r="F544">
            <v>6.2258181200288299E-4</v>
          </cell>
          <cell r="G544">
            <v>4.7918126632594699E-4</v>
          </cell>
          <cell r="H544">
            <v>5.6269795082514997E-4</v>
          </cell>
          <cell r="I544">
            <v>4.7667540955479999E-4</v>
          </cell>
        </row>
        <row r="545">
          <cell r="A545" t="str">
            <v>T_TW-BEVELC-S4</v>
          </cell>
          <cell r="B545" t="str">
            <v>VAR_cap</v>
          </cell>
          <cell r="C545" t="str">
            <v>-</v>
          </cell>
          <cell r="D545">
            <v>8.4316678289076134E-4</v>
          </cell>
          <cell r="E545">
            <v>1.4443189975377705E-3</v>
          </cell>
          <cell r="F545">
            <v>2.0668507294279233E-3</v>
          </cell>
          <cell r="G545">
            <v>2.5439291825409358E-3</v>
          </cell>
          <cell r="H545">
            <v>3.752925832865977E-3</v>
          </cell>
          <cell r="I545">
            <v>2.4422274606161749E-3</v>
          </cell>
        </row>
        <row r="546">
          <cell r="A546" t="str">
            <v>T_B_u-BeVELCEXT</v>
          </cell>
          <cell r="B546" t="str">
            <v>VAR_fout</v>
          </cell>
          <cell r="C546" t="str">
            <v>TPBSu</v>
          </cell>
          <cell r="D546">
            <v>1.9286010710867314E-3</v>
          </cell>
          <cell r="E546">
            <v>1.6384144075703732E-3</v>
          </cell>
          <cell r="F546">
            <v>1.0165239822246368E-3</v>
          </cell>
        </row>
        <row r="547">
          <cell r="A547" t="str">
            <v>T_B_u-BeVELCEXT</v>
          </cell>
          <cell r="B547" t="str">
            <v>VAR_fin</v>
          </cell>
          <cell r="C547" t="str">
            <v>TELC</v>
          </cell>
          <cell r="D547">
            <v>4.6022028623680819E-4</v>
          </cell>
          <cell r="E547">
            <v>4.8563588047506942E-4</v>
          </cell>
          <cell r="F547">
            <v>4.7313843847897634E-4</v>
          </cell>
        </row>
        <row r="548">
          <cell r="A548" t="str">
            <v>T_B_u-BeVELCEXT</v>
          </cell>
          <cell r="B548" t="str">
            <v>VAR_cap</v>
          </cell>
          <cell r="C548" t="str">
            <v>-</v>
          </cell>
          <cell r="D548">
            <v>3.77895550061805E-5</v>
          </cell>
          <cell r="E548">
            <v>3.02316440049444E-5</v>
          </cell>
          <cell r="F548">
            <v>1.8879378734144086E-5</v>
          </cell>
        </row>
        <row r="549">
          <cell r="A549" t="str">
            <v>T_B_u-HYBDSL-S1</v>
          </cell>
          <cell r="B549" t="str">
            <v>VAR_fout</v>
          </cell>
          <cell r="C549" t="str">
            <v>CO2_T</v>
          </cell>
          <cell r="E549">
            <v>1.88146985135487</v>
          </cell>
          <cell r="F549">
            <v>2.1318680072841838</v>
          </cell>
          <cell r="G549">
            <v>2.1798508738838499E-4</v>
          </cell>
          <cell r="H549">
            <v>1.382824683253945</v>
          </cell>
          <cell r="I549">
            <v>6.9522153485965834</v>
          </cell>
        </row>
        <row r="550">
          <cell r="A550" t="str">
            <v>T_B_u-HYBDSL-S1</v>
          </cell>
          <cell r="B550" t="str">
            <v>VAR_fout</v>
          </cell>
          <cell r="C550" t="str">
            <v>TPBSu</v>
          </cell>
          <cell r="E550">
            <v>4.1714137298320547E-3</v>
          </cell>
          <cell r="F550">
            <v>4.7555001143004703E-3</v>
          </cell>
          <cell r="G550">
            <v>5.4827552160815043E-7</v>
          </cell>
          <cell r="H550">
            <v>3.7744894625531271E-3</v>
          </cell>
          <cell r="I550">
            <v>2.1204223788995447E-2</v>
          </cell>
        </row>
        <row r="551">
          <cell r="A551" t="str">
            <v>T_B_u-HYBDSL-S1</v>
          </cell>
          <cell r="B551" t="str">
            <v>VAR_fin</v>
          </cell>
          <cell r="C551" t="str">
            <v>TDSL</v>
          </cell>
          <cell r="E551">
            <v>2.5668074370462139E-2</v>
          </cell>
          <cell r="F551">
            <v>2.9084147439074844E-2</v>
          </cell>
          <cell r="G551">
            <v>2.9738756806055175E-6</v>
          </cell>
          <cell r="H551">
            <v>1.8865275351349832E-2</v>
          </cell>
          <cell r="I551">
            <v>9.4846048411958733E-2</v>
          </cell>
        </row>
        <row r="552">
          <cell r="A552" t="str">
            <v>T_B_u-HYBDSL-S1</v>
          </cell>
          <cell r="B552" t="str">
            <v>VAR_ncap</v>
          </cell>
          <cell r="C552" t="str">
            <v>-</v>
          </cell>
          <cell r="E552">
            <v>7.9771806118052497E-5</v>
          </cell>
          <cell r="F552">
            <v>1.2297631442735499E-5</v>
          </cell>
          <cell r="G552">
            <v>5.6872590856646497E-8</v>
          </cell>
          <cell r="H552">
            <v>4.4752062933884098E-5</v>
          </cell>
          <cell r="I552">
            <v>5.3701018185053396E-4</v>
          </cell>
        </row>
        <row r="553">
          <cell r="A553" t="str">
            <v>T_B_u-HYBDSL-S1</v>
          </cell>
          <cell r="B553" t="str">
            <v>VAR_cap</v>
          </cell>
          <cell r="C553" t="str">
            <v>-</v>
          </cell>
          <cell r="E553">
            <v>7.9771806118052497E-5</v>
          </cell>
          <cell r="F553">
            <v>9.2006731321798245E-5</v>
          </cell>
          <cell r="G553">
            <v>9.1513780742799936E-8</v>
          </cell>
          <cell r="H553">
            <v>8.1346370172234028E-5</v>
          </cell>
          <cell r="I553">
            <v>5.6583957871690648E-4</v>
          </cell>
        </row>
        <row r="554">
          <cell r="A554" t="str">
            <v>T_B_u-HYBDSL-S2</v>
          </cell>
          <cell r="B554" t="str">
            <v>VAR_fout</v>
          </cell>
          <cell r="C554" t="str">
            <v>CO2_T</v>
          </cell>
          <cell r="E554">
            <v>0.16023675824873601</v>
          </cell>
          <cell r="F554">
            <v>0.29769950968223402</v>
          </cell>
          <cell r="H554">
            <v>0.6555706908147394</v>
          </cell>
          <cell r="I554">
            <v>0.32820947188106581</v>
          </cell>
        </row>
        <row r="555">
          <cell r="A555" t="str">
            <v>T_B_u-HYBDSL-S2</v>
          </cell>
          <cell r="B555" t="str">
            <v>VAR_fout</v>
          </cell>
          <cell r="C555" t="str">
            <v>TPBSu</v>
          </cell>
          <cell r="E555">
            <v>2.546604419792294E-4</v>
          </cell>
          <cell r="F555">
            <v>4.83827127220306E-4</v>
          </cell>
          <cell r="H555">
            <v>1.2744538942593901E-3</v>
          </cell>
          <cell r="I555">
            <v>6.7703107555336362E-4</v>
          </cell>
        </row>
        <row r="556">
          <cell r="A556" t="str">
            <v>T_B_u-HYBDSL-S2</v>
          </cell>
          <cell r="B556" t="str">
            <v>VAR_fin</v>
          </cell>
          <cell r="C556" t="str">
            <v>TDSL</v>
          </cell>
          <cell r="E556">
            <v>2.186040358100088E-3</v>
          </cell>
          <cell r="F556">
            <v>4.0613848524179283E-3</v>
          </cell>
          <cell r="H556">
            <v>8.9436656318518312E-3</v>
          </cell>
          <cell r="I556">
            <v>4.4776189888276301E-3</v>
          </cell>
        </row>
        <row r="557">
          <cell r="A557" t="str">
            <v>T_B_u-HYBDSL-S2</v>
          </cell>
          <cell r="B557" t="str">
            <v>VAR_ncap</v>
          </cell>
          <cell r="C557" t="str">
            <v>-</v>
          </cell>
          <cell r="E557">
            <v>5.1812844237647901E-6</v>
          </cell>
          <cell r="F557">
            <v>4.4588136511905596E-6</v>
          </cell>
          <cell r="G557">
            <v>6.0010351297263297E-8</v>
          </cell>
          <cell r="H557">
            <v>1.12388091853276E-5</v>
          </cell>
          <cell r="I557">
            <v>6.1436038104361999E-6</v>
          </cell>
        </row>
        <row r="558">
          <cell r="A558" t="str">
            <v>T_B_u-HYBDSL-S2</v>
          </cell>
          <cell r="B558" t="str">
            <v>VAR_cap</v>
          </cell>
          <cell r="C558" t="str">
            <v>-</v>
          </cell>
          <cell r="E558">
            <v>5.1812844237647901E-6</v>
          </cell>
          <cell r="F558">
            <v>9.6400980749553505E-6</v>
          </cell>
          <cell r="G558">
            <v>5.2704465846070651E-8</v>
          </cell>
          <cell r="H558">
            <v>2.5389500926927082E-5</v>
          </cell>
          <cell r="I558">
            <v>1.4261875169334349E-5</v>
          </cell>
        </row>
        <row r="559">
          <cell r="A559" t="str">
            <v>T_B_u-HYBDSL-S3</v>
          </cell>
          <cell r="B559" t="str">
            <v>VAR_fout</v>
          </cell>
          <cell r="C559" t="str">
            <v>CO2_T</v>
          </cell>
          <cell r="E559">
            <v>0.27551120644175697</v>
          </cell>
          <cell r="F559">
            <v>0.46594397103906504</v>
          </cell>
          <cell r="G559">
            <v>4.66894469437697E-5</v>
          </cell>
          <cell r="H559">
            <v>15.422989013871931</v>
          </cell>
          <cell r="I559">
            <v>3.2117581078511139</v>
          </cell>
        </row>
        <row r="560">
          <cell r="A560" t="str">
            <v>T_B_u-HYBDSL-S3</v>
          </cell>
          <cell r="B560" t="str">
            <v>VAR_fout</v>
          </cell>
          <cell r="C560" t="str">
            <v>TPBSu</v>
          </cell>
          <cell r="E560">
            <v>2.9406340251832299E-4</v>
          </cell>
          <cell r="F560">
            <v>5.0720597119088763E-4</v>
          </cell>
          <cell r="G560">
            <v>5.6571499918270305E-8</v>
          </cell>
          <cell r="H560">
            <v>2.0334431528015378E-2</v>
          </cell>
          <cell r="I560">
            <v>4.3488103981912558E-3</v>
          </cell>
        </row>
        <row r="561">
          <cell r="A561" t="str">
            <v>T_B_u-HYBDSL-S3</v>
          </cell>
          <cell r="B561" t="str">
            <v>VAR_fin</v>
          </cell>
          <cell r="C561" t="str">
            <v>TDSL</v>
          </cell>
          <cell r="E561">
            <v>3.7586794876092264E-3</v>
          </cell>
          <cell r="F561">
            <v>6.3566708190868331E-3</v>
          </cell>
          <cell r="G561">
            <v>6.3696380550845407E-7</v>
          </cell>
          <cell r="H561">
            <v>0.21040912706510143</v>
          </cell>
          <cell r="I561">
            <v>4.3816618115294921E-2</v>
          </cell>
        </row>
        <row r="562">
          <cell r="A562" t="str">
            <v>T_B_u-HYBDSL-S3</v>
          </cell>
          <cell r="B562" t="str">
            <v>VAR_ncap</v>
          </cell>
          <cell r="C562" t="str">
            <v>-</v>
          </cell>
          <cell r="E562">
            <v>5.7763214802592599E-6</v>
          </cell>
          <cell r="F562">
            <v>3.9345009173695004E-6</v>
          </cell>
          <cell r="G562">
            <v>1.05971439634884E-8</v>
          </cell>
          <cell r="H562">
            <v>2.2671599429587301E-4</v>
          </cell>
          <cell r="I562">
            <v>4.8129421419178301E-6</v>
          </cell>
        </row>
        <row r="563">
          <cell r="A563" t="str">
            <v>T_B_u-HYBDSL-S3</v>
          </cell>
          <cell r="B563" t="str">
            <v>VAR_cap</v>
          </cell>
          <cell r="C563" t="str">
            <v>-</v>
          </cell>
          <cell r="E563">
            <v>5.7763214802592599E-6</v>
          </cell>
          <cell r="F563">
            <v>9.7108223976287603E-6</v>
          </cell>
          <cell r="G563">
            <v>-1.2114013773239615E-8</v>
          </cell>
          <cell r="H563">
            <v>3.837402167544212E-4</v>
          </cell>
          <cell r="I563">
            <v>8.246199949912536E-5</v>
          </cell>
        </row>
        <row r="564">
          <cell r="A564" t="str">
            <v>T_C-HY-GSL-S1</v>
          </cell>
          <cell r="B564" t="str">
            <v>VAR_fout</v>
          </cell>
          <cell r="C564" t="str">
            <v>CO2_T</v>
          </cell>
          <cell r="D564">
            <v>3.0951157928589685</v>
          </cell>
          <cell r="E564">
            <v>0.15670547885887787</v>
          </cell>
          <cell r="F564">
            <v>2.750884803249969E-3</v>
          </cell>
          <cell r="G564">
            <v>72.58194674887541</v>
          </cell>
          <cell r="H564">
            <v>15.418729602282252</v>
          </cell>
          <cell r="I564">
            <v>7.16758042129437E-2</v>
          </cell>
        </row>
        <row r="565">
          <cell r="A565" t="str">
            <v>T_C-HY-GSL-S1</v>
          </cell>
          <cell r="B565" t="str">
            <v>VAR_fout</v>
          </cell>
          <cell r="C565" t="str">
            <v>TPCAR</v>
          </cell>
          <cell r="D565">
            <v>4.8248694213918406E-2</v>
          </cell>
          <cell r="E565">
            <v>2.6630236076416666E-3</v>
          </cell>
          <cell r="F565">
            <v>4.7584520112644546E-5</v>
          </cell>
          <cell r="G565">
            <v>0.86606927780884657</v>
          </cell>
          <cell r="H565">
            <v>0.1841261359776383</v>
          </cell>
          <cell r="I565">
            <v>9.2160696296329694E-4</v>
          </cell>
        </row>
        <row r="566">
          <cell r="A566" t="str">
            <v>T_C-HY-GSL-S1</v>
          </cell>
          <cell r="B566" t="str">
            <v>VAR_fin</v>
          </cell>
          <cell r="C566" t="str">
            <v>TGSL</v>
          </cell>
          <cell r="D566">
            <v>4.1939238385622753E-2</v>
          </cell>
          <cell r="E566">
            <v>2.1233804723425147E-3</v>
          </cell>
          <cell r="F566">
            <v>3.7274861832655367E-5</v>
          </cell>
          <cell r="G566">
            <v>0.98349521339939827</v>
          </cell>
          <cell r="H566">
            <v>0.20892587536967838</v>
          </cell>
          <cell r="I566">
            <v>9.7121685925398015E-4</v>
          </cell>
        </row>
        <row r="567">
          <cell r="A567" t="str">
            <v>T_C-HY-GSL-S1</v>
          </cell>
          <cell r="B567" t="str">
            <v>VAR_ncap</v>
          </cell>
          <cell r="C567" t="str">
            <v>-</v>
          </cell>
          <cell r="E567">
            <v>1.1367098493941999E-5</v>
          </cell>
          <cell r="F567">
            <v>1.3725520236733401E-6</v>
          </cell>
          <cell r="G567">
            <v>9.7576026251051703E-2</v>
          </cell>
          <cell r="H567">
            <v>1.4467242395577699E-4</v>
          </cell>
        </row>
        <row r="568">
          <cell r="A568" t="str">
            <v>T_C-HY-GSL-S1</v>
          </cell>
          <cell r="B568" t="str">
            <v>VAR_cap</v>
          </cell>
          <cell r="C568" t="str">
            <v>-</v>
          </cell>
          <cell r="D568">
            <v>5.625669785506552E-3</v>
          </cell>
          <cell r="E568">
            <v>3.006805892523225E-4</v>
          </cell>
          <cell r="F568">
            <v>3.8659402052309763E-6</v>
          </cell>
          <cell r="G568">
            <v>9.252863907088632E-2</v>
          </cell>
          <cell r="H568">
            <v>2.7941544031312507E-2</v>
          </cell>
          <cell r="I568">
            <v>1.2925562219344791E-4</v>
          </cell>
        </row>
        <row r="569">
          <cell r="A569" t="str">
            <v>T_B_u-HYBDSL-S4</v>
          </cell>
          <cell r="B569" t="str">
            <v>VAR_fout</v>
          </cell>
          <cell r="C569" t="str">
            <v>CO2_T</v>
          </cell>
          <cell r="E569">
            <v>2.57176977276437E-2</v>
          </cell>
          <cell r="F569">
            <v>5.1612239821193999E-2</v>
          </cell>
          <cell r="G569">
            <v>1.09180728553787E-4</v>
          </cell>
          <cell r="H569">
            <v>5.4984053940661803E-2</v>
          </cell>
          <cell r="I569">
            <v>1.756360601297928E-2</v>
          </cell>
        </row>
        <row r="570">
          <cell r="A570" t="str">
            <v>T_B_u-HYBDSL-S4</v>
          </cell>
          <cell r="B570" t="str">
            <v>VAR_fout</v>
          </cell>
          <cell r="C570" t="str">
            <v>TPBSu</v>
          </cell>
          <cell r="E570">
            <v>1.8508125296844805E-5</v>
          </cell>
          <cell r="F570">
            <v>3.8009006687686708E-5</v>
          </cell>
          <cell r="G570">
            <v>8.92483607965201E-8</v>
          </cell>
          <cell r="H570">
            <v>4.87772735278101E-5</v>
          </cell>
          <cell r="I570">
            <v>1.7111460028256302E-5</v>
          </cell>
        </row>
        <row r="571">
          <cell r="A571" t="str">
            <v>T_B_u-HYBDSL-S4</v>
          </cell>
          <cell r="B571" t="str">
            <v>VAR_fin</v>
          </cell>
          <cell r="C571" t="str">
            <v>TDSL</v>
          </cell>
          <cell r="E571">
            <v>3.5085535781232845E-4</v>
          </cell>
          <cell r="F571">
            <v>7.0412332634644029E-4</v>
          </cell>
          <cell r="G571">
            <v>1.489505164444564E-6</v>
          </cell>
          <cell r="H571">
            <v>7.5012351897219291E-4</v>
          </cell>
          <cell r="I571">
            <v>2.3961263319207714E-4</v>
          </cell>
        </row>
        <row r="572">
          <cell r="A572" t="str">
            <v>T_B_u-HYBDSL-S4</v>
          </cell>
          <cell r="B572" t="str">
            <v>VAR_ncap</v>
          </cell>
          <cell r="C572" t="str">
            <v>-</v>
          </cell>
          <cell r="E572">
            <v>3.3898466581636201E-7</v>
          </cell>
          <cell r="F572">
            <v>2.9934012430146898E-7</v>
          </cell>
          <cell r="G572">
            <v>3.50046939395126E-8</v>
          </cell>
          <cell r="H572">
            <v>2.66791519064012E-7</v>
          </cell>
          <cell r="I572">
            <v>1.8355485033082999E-7</v>
          </cell>
        </row>
        <row r="573">
          <cell r="A573" t="str">
            <v>T_B_u-HYBDSL-S4</v>
          </cell>
          <cell r="B573" t="str">
            <v>VAR_cap</v>
          </cell>
          <cell r="C573" t="str">
            <v>-</v>
          </cell>
          <cell r="E573">
            <v>3.3898466581636201E-7</v>
          </cell>
          <cell r="F573">
            <v>6.3832479011783099E-7</v>
          </cell>
          <cell r="G573">
            <v>-1.1679815745920004E-8</v>
          </cell>
          <cell r="H573">
            <v>5.9080205226019587E-7</v>
          </cell>
          <cell r="I573">
            <v>2.3037373019403499E-7</v>
          </cell>
        </row>
        <row r="574">
          <cell r="A574" t="str">
            <v>TFRLFDSLEXT</v>
          </cell>
          <cell r="B574" t="str">
            <v>VAR_fout</v>
          </cell>
          <cell r="C574" t="str">
            <v>CO2_T</v>
          </cell>
          <cell r="D574">
            <v>29.0323648699964</v>
          </cell>
          <cell r="E574">
            <v>20.651767214758301</v>
          </cell>
          <cell r="F574">
            <v>0.80730217418011196</v>
          </cell>
          <cell r="H574">
            <v>0.11816169152328</v>
          </cell>
          <cell r="I574">
            <v>0.11349903797962101</v>
          </cell>
        </row>
        <row r="575">
          <cell r="A575" t="str">
            <v>TFRLFDSLEXT</v>
          </cell>
          <cell r="B575" t="str">
            <v>VAR_fout</v>
          </cell>
          <cell r="C575" t="str">
            <v>TFRLF</v>
          </cell>
          <cell r="D575">
            <v>1.6053249648869251E-3</v>
          </cell>
          <cell r="E575">
            <v>1.1419254899605743E-3</v>
          </cell>
          <cell r="F575">
            <v>4.4639227297606806E-5</v>
          </cell>
          <cell r="H575">
            <v>6.5336707548623721E-6</v>
          </cell>
          <cell r="I575">
            <v>6.2758524830897516E-6</v>
          </cell>
        </row>
        <row r="576">
          <cell r="A576" t="str">
            <v>TFRLFDSLEXT</v>
          </cell>
          <cell r="B576" t="str">
            <v>VAR_fin</v>
          </cell>
          <cell r="C576" t="str">
            <v>TDSL</v>
          </cell>
          <cell r="D576">
            <v>0.39607591909954193</v>
          </cell>
          <cell r="E576">
            <v>0.28174307250693487</v>
          </cell>
          <cell r="F576">
            <v>1.1013672226195249E-2</v>
          </cell>
          <cell r="H576">
            <v>1.6120285337418857E-3</v>
          </cell>
          <cell r="I576">
            <v>1.5484179806223876E-3</v>
          </cell>
        </row>
        <row r="577">
          <cell r="A577" t="str">
            <v>TFRLFDSLEXT</v>
          </cell>
          <cell r="B577" t="str">
            <v>VAR_ncap</v>
          </cell>
          <cell r="C577" t="str">
            <v>-</v>
          </cell>
          <cell r="D577">
            <v>1.48304645955977E-4</v>
          </cell>
          <cell r="F577">
            <v>1.19851476499585E-8</v>
          </cell>
        </row>
        <row r="578">
          <cell r="A578" t="str">
            <v>TFRLFDSLEXT</v>
          </cell>
          <cell r="B578" t="str">
            <v>VAR_cap</v>
          </cell>
          <cell r="C578" t="str">
            <v>-</v>
          </cell>
          <cell r="D578">
            <v>1.48304645955977E-4</v>
          </cell>
          <cell r="E578">
            <v>1.48304645955977E-4</v>
          </cell>
          <cell r="F578">
            <v>4.573876091304007E-6</v>
          </cell>
          <cell r="G578">
            <v>-8.3184259650024173E-9</v>
          </cell>
          <cell r="H578">
            <v>7.2276776175199875E-7</v>
          </cell>
          <cell r="I578">
            <v>6.8821869040179714E-7</v>
          </cell>
        </row>
        <row r="579">
          <cell r="A579" t="str">
            <v>T_C-HY-GSL-S2</v>
          </cell>
          <cell r="B579" t="str">
            <v>VAR_fout</v>
          </cell>
          <cell r="C579" t="str">
            <v>CO2_T</v>
          </cell>
          <cell r="D579">
            <v>4.4551006270224729</v>
          </cell>
          <cell r="E579">
            <v>0.15636875339461737</v>
          </cell>
          <cell r="F579">
            <v>2.1198502323414914E-2</v>
          </cell>
          <cell r="G579">
            <v>600.732279896916</v>
          </cell>
          <cell r="H579">
            <v>174.97698470978327</v>
          </cell>
          <cell r="I579">
            <v>0.1526171961285232</v>
          </cell>
        </row>
        <row r="580">
          <cell r="A580" t="str">
            <v>T_C-HY-GSL-S2</v>
          </cell>
          <cell r="B580" t="str">
            <v>VAR_fout</v>
          </cell>
          <cell r="C580" t="str">
            <v>TPCAR</v>
          </cell>
          <cell r="D580">
            <v>0.10946087875602921</v>
          </cell>
          <cell r="E580">
            <v>3.8289737381763007E-3</v>
          </cell>
          <cell r="F580">
            <v>6.2769801534280851E-4</v>
          </cell>
          <cell r="G580">
            <v>5.9446100860518198</v>
          </cell>
          <cell r="H580">
            <v>1.7316620195118315</v>
          </cell>
          <cell r="I580">
            <v>1.6320154927266697E-3</v>
          </cell>
        </row>
        <row r="581">
          <cell r="A581" t="str">
            <v>T_C-HY-GSL-S2</v>
          </cell>
          <cell r="B581" t="str">
            <v>VAR_fin</v>
          </cell>
          <cell r="C581" t="str">
            <v>TGSL</v>
          </cell>
          <cell r="D581">
            <v>6.0367217168326215E-2</v>
          </cell>
          <cell r="E581">
            <v>2.1188177966750283E-3</v>
          </cell>
          <cell r="F581">
            <v>2.8724257890806108E-4</v>
          </cell>
          <cell r="G581">
            <v>8.1400037926411368</v>
          </cell>
          <cell r="H581">
            <v>2.3709618524360905</v>
          </cell>
          <cell r="I581">
            <v>2.0679836873783611E-3</v>
          </cell>
        </row>
        <row r="582">
          <cell r="A582" t="str">
            <v>T_C-HY-GSL-S2</v>
          </cell>
          <cell r="B582" t="str">
            <v>VAR_ncap</v>
          </cell>
          <cell r="C582" t="str">
            <v>-</v>
          </cell>
          <cell r="E582">
            <v>1.3567057905480501E-5</v>
          </cell>
          <cell r="F582">
            <v>9.7085330701064494E-6</v>
          </cell>
          <cell r="G582">
            <v>0.47564849029149098</v>
          </cell>
          <cell r="H582">
            <v>1.7421670568381299E-4</v>
          </cell>
        </row>
        <row r="583">
          <cell r="A583" t="str">
            <v>T_C-HY-GSL-S2</v>
          </cell>
          <cell r="B583" t="str">
            <v>VAR_cap</v>
          </cell>
          <cell r="C583" t="str">
            <v>-</v>
          </cell>
          <cell r="D583">
            <v>8.7328773007807493E-3</v>
          </cell>
          <cell r="E583">
            <v>2.9868831703997248E-4</v>
          </cell>
          <cell r="F583">
            <v>5.609435113730632E-5</v>
          </cell>
          <cell r="G583">
            <v>0.45103316003846194</v>
          </cell>
          <cell r="H583">
            <v>0.18230394790580165</v>
          </cell>
          <cell r="I583">
            <v>1.5185924891970214E-4</v>
          </cell>
        </row>
        <row r="584">
          <cell r="A584" t="str">
            <v>TPSHPNGAEXT</v>
          </cell>
          <cell r="B584" t="str">
            <v>VAR_ncap</v>
          </cell>
          <cell r="C584" t="str">
            <v>-</v>
          </cell>
          <cell r="D584">
            <v>3.9695771916081502E-5</v>
          </cell>
          <cell r="E584">
            <v>4.5150359016564097E-5</v>
          </cell>
          <cell r="F584">
            <v>4.79952101800716E-5</v>
          </cell>
          <cell r="G584">
            <v>3.72161311661524E-5</v>
          </cell>
          <cell r="H584">
            <v>3.71077920977433E-6</v>
          </cell>
          <cell r="I584">
            <v>1.55149242496831E-6</v>
          </cell>
        </row>
        <row r="585">
          <cell r="A585" t="str">
            <v>TPSHPNGAEXT</v>
          </cell>
          <cell r="B585" t="str">
            <v>VAR_cap</v>
          </cell>
          <cell r="C585" t="str">
            <v>-</v>
          </cell>
          <cell r="D585">
            <v>3.9695771916081502E-5</v>
          </cell>
          <cell r="E585">
            <v>8.4846130932645606E-5</v>
          </cell>
          <cell r="F585">
            <v>1.0281787415450651E-4</v>
          </cell>
          <cell r="G585">
            <v>9.4421654113870093E-5</v>
          </cell>
          <cell r="H585">
            <v>-2.9669062137209783E-6</v>
          </cell>
          <cell r="I585">
            <v>-3.7529639068401835E-8</v>
          </cell>
        </row>
        <row r="586">
          <cell r="A586" t="str">
            <v>T_C-HY-DSL-S1</v>
          </cell>
          <cell r="B586" t="str">
            <v>VAR_fout</v>
          </cell>
          <cell r="C586" t="str">
            <v>CO2_T</v>
          </cell>
          <cell r="D586">
            <v>2.97160680535673E-3</v>
          </cell>
          <cell r="E586">
            <v>7.2708327727479902E-3</v>
          </cell>
          <cell r="F586">
            <v>2.0276468264554979E-3</v>
          </cell>
          <cell r="G586">
            <v>110.08267367539088</v>
          </cell>
          <cell r="H586">
            <v>15.790462453486077</v>
          </cell>
          <cell r="I586">
            <v>6.5305507783341793E-2</v>
          </cell>
        </row>
        <row r="587">
          <cell r="A587" t="str">
            <v>T_C-HY-DSL-S1</v>
          </cell>
          <cell r="B587" t="str">
            <v>VAR_fout</v>
          </cell>
          <cell r="C587" t="str">
            <v>TPCAR</v>
          </cell>
          <cell r="D587">
            <v>1.6955638830564866E-5</v>
          </cell>
          <cell r="E587">
            <v>1.1864704484093243E-4</v>
          </cell>
          <cell r="F587">
            <v>3.3963672046014819E-5</v>
          </cell>
          <cell r="G587">
            <v>1.321798116434479</v>
          </cell>
          <cell r="H587">
            <v>0.18974059876466795</v>
          </cell>
          <cell r="I587">
            <v>8.4430424642379515E-4</v>
          </cell>
        </row>
        <row r="588">
          <cell r="A588" t="str">
            <v>T_C-HY-DSL-S1</v>
          </cell>
          <cell r="B588" t="str">
            <v>VAR_fin</v>
          </cell>
          <cell r="C588" t="str">
            <v>TDSL</v>
          </cell>
          <cell r="D588">
            <v>4.0540338408686661E-5</v>
          </cell>
          <cell r="E588">
            <v>9.9192807268048898E-5</v>
          </cell>
          <cell r="F588">
            <v>2.7662303225859522E-5</v>
          </cell>
          <cell r="G588">
            <v>1.5018100092140703</v>
          </cell>
          <cell r="H588">
            <v>0.21542240727811796</v>
          </cell>
          <cell r="I588">
            <v>8.9093462187369394E-4</v>
          </cell>
        </row>
        <row r="589">
          <cell r="A589" t="str">
            <v>T_C-HY-DSL-S1</v>
          </cell>
          <cell r="B589" t="str">
            <v>VAR_ncap</v>
          </cell>
          <cell r="C589" t="str">
            <v>-</v>
          </cell>
          <cell r="E589">
            <v>1.18650515327535E-5</v>
          </cell>
          <cell r="F589">
            <v>2.2051576033008899E-6</v>
          </cell>
          <cell r="G589">
            <v>0.14893797480939799</v>
          </cell>
          <cell r="H589">
            <v>1.28134696079616E-4</v>
          </cell>
        </row>
        <row r="590">
          <cell r="A590" t="str">
            <v>T_C-HY-DSL-S1</v>
          </cell>
          <cell r="B590" t="str">
            <v>VAR_cap</v>
          </cell>
          <cell r="C590" t="str">
            <v>-</v>
          </cell>
          <cell r="D590">
            <v>1.5999999999999999E-6</v>
          </cell>
          <cell r="E590">
            <v>1.3307090311048301E-5</v>
          </cell>
          <cell r="F590">
            <v>3.2823625573504986E-6</v>
          </cell>
          <cell r="G590">
            <v>0.14121806072666077</v>
          </cell>
          <cell r="H590">
            <v>2.8796702375039496E-2</v>
          </cell>
          <cell r="I590">
            <v>1.1860892513896286E-4</v>
          </cell>
        </row>
        <row r="591">
          <cell r="A591" t="str">
            <v>T_C-HY-GSL-S3</v>
          </cell>
          <cell r="B591" t="str">
            <v>VAR_fout</v>
          </cell>
          <cell r="C591" t="str">
            <v>CO2_T</v>
          </cell>
          <cell r="D591">
            <v>5.7001917217187277</v>
          </cell>
          <cell r="E591">
            <v>85.253029294021033</v>
          </cell>
          <cell r="F591">
            <v>150.72417482291985</v>
          </cell>
          <cell r="G591">
            <v>770.83361114900447</v>
          </cell>
          <cell r="H591">
            <v>248.16674879203532</v>
          </cell>
          <cell r="I591">
            <v>0.12655242760908519</v>
          </cell>
        </row>
        <row r="592">
          <cell r="A592" t="str">
            <v>T_C-HY-GSL-S3</v>
          </cell>
          <cell r="B592" t="str">
            <v>VAR_fout</v>
          </cell>
          <cell r="C592" t="str">
            <v>TPCAR</v>
          </cell>
          <cell r="D592">
            <v>0.18083594781309065</v>
          </cell>
          <cell r="E592">
            <v>2.9516725796345717</v>
          </cell>
          <cell r="F592">
            <v>4.2985890827694035</v>
          </cell>
          <cell r="G592">
            <v>10.421352489032607</v>
          </cell>
          <cell r="H592">
            <v>2.389439883036546</v>
          </cell>
          <cell r="I592">
            <v>1.2206234707522357E-3</v>
          </cell>
        </row>
        <row r="593">
          <cell r="A593" t="str">
            <v>T_C-HY-GSL-S3</v>
          </cell>
          <cell r="B593" t="str">
            <v>VAR_fin</v>
          </cell>
          <cell r="C593" t="str">
            <v>TGSL</v>
          </cell>
          <cell r="D593">
            <v>7.7238370212990931E-2</v>
          </cell>
          <cell r="E593">
            <v>1.1551900988349728</v>
          </cell>
          <cell r="F593">
            <v>2.0423329921804867</v>
          </cell>
          <cell r="G593">
            <v>10.444899880067807</v>
          </cell>
          <cell r="H593">
            <v>3.3626930730627986</v>
          </cell>
          <cell r="I593">
            <v>1.7148025421285253E-3</v>
          </cell>
        </row>
        <row r="594">
          <cell r="A594" t="str">
            <v>T_C-HY-GSL-S3</v>
          </cell>
          <cell r="B594" t="str">
            <v>VAR_ncap</v>
          </cell>
          <cell r="C594" t="str">
            <v>-</v>
          </cell>
          <cell r="E594">
            <v>0.18300517017567999</v>
          </cell>
          <cell r="F594">
            <v>0.23357598881066599</v>
          </cell>
          <cell r="G594">
            <v>0.37888469988785001</v>
          </cell>
          <cell r="H594">
            <v>1.2238493177051099E-4</v>
          </cell>
        </row>
        <row r="595">
          <cell r="A595" t="str">
            <v>T_C-HY-GSL-S3</v>
          </cell>
          <cell r="B595" t="str">
            <v>VAR_cap</v>
          </cell>
          <cell r="C595" t="str">
            <v>-</v>
          </cell>
          <cell r="D595">
            <v>1.3251287170118151E-2</v>
          </cell>
          <cell r="E595">
            <v>0.203003054913725</v>
          </cell>
          <cell r="F595">
            <v>0.42219630305556149</v>
          </cell>
          <cell r="G595">
            <v>0.71653571589604981</v>
          </cell>
          <cell r="H595">
            <v>0.16487291857499747</v>
          </cell>
          <cell r="I595">
            <v>9.7943388685919856E-5</v>
          </cell>
        </row>
        <row r="596">
          <cell r="A596" t="str">
            <v>T_C-HY-DSL-S2</v>
          </cell>
          <cell r="B596" t="str">
            <v>VAR_fout</v>
          </cell>
          <cell r="C596" t="str">
            <v>CO2_T</v>
          </cell>
          <cell r="D596">
            <v>0.19138720058296449</v>
          </cell>
          <cell r="E596">
            <v>62.075437483465002</v>
          </cell>
          <cell r="F596">
            <v>58.782173543827263</v>
          </cell>
          <cell r="G596">
            <v>1038.9019804515224</v>
          </cell>
          <cell r="H596">
            <v>288.4402913519404</v>
          </cell>
          <cell r="I596">
            <v>0.12919245172585631</v>
          </cell>
        </row>
        <row r="597">
          <cell r="A597" t="str">
            <v>T_C-HY-DSL-S2</v>
          </cell>
          <cell r="B597" t="str">
            <v>VAR_fout</v>
          </cell>
          <cell r="C597" t="str">
            <v>TPCAR</v>
          </cell>
          <cell r="D597">
            <v>3.0913919501506402E-3</v>
          </cell>
          <cell r="E597">
            <v>2.2752800266292144</v>
          </cell>
          <cell r="F597">
            <v>2.1523777150693038</v>
          </cell>
          <cell r="G597">
            <v>11.600844331962795</v>
          </cell>
          <cell r="H597">
            <v>2.8720074735241048</v>
          </cell>
          <cell r="I597">
            <v>1.3879182284381472E-3</v>
          </cell>
        </row>
        <row r="598">
          <cell r="A598" t="str">
            <v>T_C-HY-DSL-S2</v>
          </cell>
          <cell r="B598" t="str">
            <v>VAR_fin</v>
          </cell>
          <cell r="C598" t="str">
            <v>TDSL</v>
          </cell>
          <cell r="D598">
            <v>2.6110122862614588E-3</v>
          </cell>
          <cell r="E598">
            <v>0.84686817849201979</v>
          </cell>
          <cell r="F598">
            <v>0.80193961178481854</v>
          </cell>
          <cell r="G598">
            <v>14.173287591425957</v>
          </cell>
          <cell r="H598">
            <v>3.9350653663293373</v>
          </cell>
          <cell r="I598">
            <v>1.7625163946228676E-3</v>
          </cell>
        </row>
        <row r="599">
          <cell r="A599" t="str">
            <v>T_C-HY-DSL-S2</v>
          </cell>
          <cell r="B599" t="str">
            <v>VAR_ncap</v>
          </cell>
          <cell r="C599" t="str">
            <v>-</v>
          </cell>
          <cell r="E599">
            <v>0.174578780897718</v>
          </cell>
          <cell r="F599">
            <v>5.8520375308456201E-4</v>
          </cell>
          <cell r="G599">
            <v>0.78999848550131102</v>
          </cell>
          <cell r="H599">
            <v>1.4127453745634599E-4</v>
          </cell>
        </row>
        <row r="600">
          <cell r="A600" t="str">
            <v>T_C-HY-DSL-S2</v>
          </cell>
          <cell r="B600" t="str">
            <v>VAR_cap</v>
          </cell>
          <cell r="C600" t="str">
            <v>-</v>
          </cell>
          <cell r="D600">
            <v>2.5973239324882439E-4</v>
          </cell>
          <cell r="E600">
            <v>0.1726352614056231</v>
          </cell>
          <cell r="F600">
            <v>0.1633053350869913</v>
          </cell>
          <cell r="G600">
            <v>0.88018913561636969</v>
          </cell>
          <cell r="H600">
            <v>0.30277910027055538</v>
          </cell>
          <cell r="I600">
            <v>1.3045885041655054E-4</v>
          </cell>
        </row>
        <row r="601">
          <cell r="A601" t="str">
            <v>D-T-ELC-Bus_c_S1</v>
          </cell>
          <cell r="B601" t="str">
            <v>VAR_fout</v>
          </cell>
          <cell r="C601" t="str">
            <v>T-ELC-Bus_c_BatSTGin_S1</v>
          </cell>
          <cell r="D601">
            <v>4.409387178420468E-4</v>
          </cell>
          <cell r="E601">
            <v>1.8986867052351094E-3</v>
          </cell>
          <cell r="F601">
            <v>3.4706676277779114E-3</v>
          </cell>
          <cell r="G601">
            <v>0.12100257241294408</v>
          </cell>
          <cell r="H601">
            <v>0.12535383264390362</v>
          </cell>
          <cell r="I601">
            <v>0.11131158731477639</v>
          </cell>
        </row>
        <row r="602">
          <cell r="A602" t="str">
            <v>D-T-ELC-Bus_c_S1</v>
          </cell>
          <cell r="B602" t="str">
            <v>VAR_fin</v>
          </cell>
          <cell r="C602" t="str">
            <v>TELC</v>
          </cell>
          <cell r="D602">
            <v>4.409387178420468E-4</v>
          </cell>
          <cell r="E602">
            <v>1.8986867052351094E-3</v>
          </cell>
          <cell r="F602">
            <v>3.4706676277779114E-3</v>
          </cell>
          <cell r="G602">
            <v>0.12100257241294408</v>
          </cell>
          <cell r="H602">
            <v>0.12535383264390362</v>
          </cell>
          <cell r="I602">
            <v>0.11131158731477639</v>
          </cell>
        </row>
        <row r="603">
          <cell r="A603" t="str">
            <v>D-T-ELC-Bus_c_S1</v>
          </cell>
          <cell r="B603" t="str">
            <v>VAR_ncap</v>
          </cell>
          <cell r="C603" t="str">
            <v>-</v>
          </cell>
          <cell r="D603">
            <v>1.3568191735807201E-4</v>
          </cell>
          <cell r="E603">
            <v>1.06335927485257E-4</v>
          </cell>
          <cell r="F603">
            <v>2.20258069051723E-4</v>
          </cell>
          <cell r="G603">
            <v>1.4628006521088499E-2</v>
          </cell>
          <cell r="H603">
            <v>1.31260479238183E-2</v>
          </cell>
          <cell r="I603">
            <v>6.6284952073849199E-3</v>
          </cell>
        </row>
        <row r="604">
          <cell r="A604" t="str">
            <v>D-T-ELC-Bus_c_S1</v>
          </cell>
          <cell r="B604" t="str">
            <v>VAR_cap</v>
          </cell>
          <cell r="C604" t="str">
            <v>-</v>
          </cell>
          <cell r="D604">
            <v>1.3568191735807201E-4</v>
          </cell>
          <cell r="E604">
            <v>2.42017844843329E-4</v>
          </cell>
          <cell r="F604">
            <v>4.6227591389505198E-4</v>
          </cell>
          <cell r="G604">
            <v>1.5039789512116399E-2</v>
          </cell>
          <cell r="H604">
            <v>1.60973671603847E-2</v>
          </cell>
          <cell r="I604">
            <v>1.32780297973742E-2</v>
          </cell>
        </row>
        <row r="605">
          <cell r="A605" t="str">
            <v>T_C-HY-GSL-S4</v>
          </cell>
          <cell r="B605" t="str">
            <v>VAR_fout</v>
          </cell>
          <cell r="C605" t="str">
            <v>CO2_T</v>
          </cell>
          <cell r="D605">
            <v>6.4374502315101978</v>
          </cell>
          <cell r="E605">
            <v>2.7494283469759635</v>
          </cell>
          <cell r="F605">
            <v>1.7921710583261991E-2</v>
          </cell>
          <cell r="G605">
            <v>860.6637653839224</v>
          </cell>
          <cell r="H605">
            <v>249.61231329082639</v>
          </cell>
          <cell r="I605">
            <v>0.1390760048350011</v>
          </cell>
        </row>
        <row r="606">
          <cell r="A606" t="str">
            <v>T_C-HY-GSL-S4</v>
          </cell>
          <cell r="B606" t="str">
            <v>VAR_fout</v>
          </cell>
          <cell r="C606" t="str">
            <v>TPCAR</v>
          </cell>
          <cell r="D606">
            <v>9.9336987030205812E-2</v>
          </cell>
          <cell r="E606">
            <v>5.8887448602921243E-2</v>
          </cell>
          <cell r="F606">
            <v>3.404671748292534E-4</v>
          </cell>
          <cell r="G606">
            <v>7.5794130339851797</v>
          </cell>
          <cell r="H606">
            <v>2.1983671221174692</v>
          </cell>
          <cell r="I606">
            <v>1.3196608997542382E-3</v>
          </cell>
        </row>
        <row r="607">
          <cell r="A607" t="str">
            <v>T_C-HY-GSL-S4</v>
          </cell>
          <cell r="B607" t="str">
            <v>VAR_fin</v>
          </cell>
          <cell r="C607" t="str">
            <v>TGSL</v>
          </cell>
          <cell r="D607">
            <v>8.7228322920192322E-2</v>
          </cell>
          <cell r="E607">
            <v>3.7255126652790772E-2</v>
          </cell>
          <cell r="F607">
            <v>2.4284160681926789E-4</v>
          </cell>
          <cell r="G607">
            <v>11.662110642058567</v>
          </cell>
          <cell r="H607">
            <v>3.382280667897378</v>
          </cell>
          <cell r="I607">
            <v>1.8844987105013694E-3</v>
          </cell>
        </row>
        <row r="608">
          <cell r="A608" t="str">
            <v>T_C-HY-GSL-S4</v>
          </cell>
          <cell r="B608" t="str">
            <v>VAR_ncap</v>
          </cell>
          <cell r="C608" t="str">
            <v>-</v>
          </cell>
          <cell r="E608">
            <v>1.1161942106348601E-5</v>
          </cell>
          <cell r="F608">
            <v>5.6145982632820998E-6</v>
          </cell>
          <cell r="G608">
            <v>0.62942143908811898</v>
          </cell>
          <cell r="H608">
            <v>1.5065081763530999E-4</v>
          </cell>
        </row>
        <row r="609">
          <cell r="A609" t="str">
            <v>T_C-HY-GSL-S4</v>
          </cell>
          <cell r="B609" t="str">
            <v>VAR_cap</v>
          </cell>
          <cell r="C609" t="str">
            <v>-</v>
          </cell>
          <cell r="D609">
            <v>8.1543024394657992E-3</v>
          </cell>
          <cell r="E609">
            <v>4.6582496088604913E-3</v>
          </cell>
          <cell r="F609">
            <v>2.9301398386078273E-5</v>
          </cell>
          <cell r="G609">
            <v>0.59680749592316384</v>
          </cell>
          <cell r="H609">
            <v>0.24141438566312801</v>
          </cell>
          <cell r="I609">
            <v>1.2459354069143552E-4</v>
          </cell>
        </row>
        <row r="610">
          <cell r="A610" t="str">
            <v>T_C-HY-DSL-S3</v>
          </cell>
          <cell r="B610" t="str">
            <v>VAR_fout</v>
          </cell>
          <cell r="C610" t="str">
            <v>CO2_T</v>
          </cell>
          <cell r="D610">
            <v>1.9358258326382449</v>
          </cell>
          <cell r="E610">
            <v>36.013055878315768</v>
          </cell>
          <cell r="F610">
            <v>33.957947691667414</v>
          </cell>
          <cell r="G610">
            <v>424.10263237288416</v>
          </cell>
          <cell r="H610">
            <v>159.66559411662814</v>
          </cell>
          <cell r="I610">
            <v>0.1069818602765289</v>
          </cell>
        </row>
        <row r="611">
          <cell r="A611" t="str">
            <v>T_C-HY-DSL-S3</v>
          </cell>
          <cell r="B611" t="str">
            <v>VAR_fout</v>
          </cell>
          <cell r="C611" t="str">
            <v>TPCAR</v>
          </cell>
          <cell r="D611">
            <v>2.382063342300399E-2</v>
          </cell>
          <cell r="E611">
            <v>0.80744682304062643</v>
          </cell>
          <cell r="F611">
            <v>0.76219251885316408</v>
          </cell>
          <cell r="G611">
            <v>4.1637689708101062</v>
          </cell>
          <cell r="H611">
            <v>1.428891032001901</v>
          </cell>
          <cell r="I611">
            <v>1.0366985370760763E-3</v>
          </cell>
        </row>
        <row r="612">
          <cell r="A612" t="str">
            <v>T_C-HY-DSL-S3</v>
          </cell>
          <cell r="B612" t="str">
            <v>VAR_fin</v>
          </cell>
          <cell r="C612" t="str">
            <v>TDSL</v>
          </cell>
          <cell r="D612">
            <v>2.6409629367506685E-2</v>
          </cell>
          <cell r="E612">
            <v>0.49131044854455252</v>
          </cell>
          <cell r="F612">
            <v>0.46327350193270667</v>
          </cell>
          <cell r="G612">
            <v>5.7858476449233827</v>
          </cell>
          <cell r="H612">
            <v>2.1782482144151221</v>
          </cell>
          <cell r="I612">
            <v>1.4595069614806134E-3</v>
          </cell>
        </row>
        <row r="613">
          <cell r="A613" t="str">
            <v>T_C-HY-DSL-S3</v>
          </cell>
          <cell r="B613" t="str">
            <v>VAR_ncap</v>
          </cell>
          <cell r="C613" t="str">
            <v>-</v>
          </cell>
          <cell r="E613">
            <v>5.39627201657722E-2</v>
          </cell>
          <cell r="F613">
            <v>6.8100065019628301E-5</v>
          </cell>
          <cell r="G613">
            <v>0.25748000913235197</v>
          </cell>
          <cell r="H613">
            <v>1.01426192449142E-4</v>
          </cell>
        </row>
        <row r="614">
          <cell r="A614" t="str">
            <v>T_C-HY-DSL-S3</v>
          </cell>
          <cell r="B614" t="str">
            <v>VAR_cap</v>
          </cell>
          <cell r="C614" t="str">
            <v>-</v>
          </cell>
          <cell r="D614">
            <v>1.8466126666554111E-3</v>
          </cell>
          <cell r="E614">
            <v>5.554893998987067E-2</v>
          </cell>
          <cell r="F614">
            <v>5.2405450614808911E-2</v>
          </cell>
          <cell r="G614">
            <v>0.28628495903491497</v>
          </cell>
          <cell r="H614">
            <v>9.8840056112862382E-2</v>
          </cell>
          <cell r="I614">
            <v>8.4829402711319529E-5</v>
          </cell>
        </row>
        <row r="615">
          <cell r="A615" t="str">
            <v>D-T-ELC-Bus_c_S2</v>
          </cell>
          <cell r="B615" t="str">
            <v>VAR_fout</v>
          </cell>
          <cell r="C615" t="str">
            <v>T-ELC-Bus_c_BatSTGin_S2</v>
          </cell>
          <cell r="D615">
            <v>1.6442118251544572E-3</v>
          </cell>
          <cell r="E615">
            <v>2.8166664617620615E-3</v>
          </cell>
          <cell r="F615">
            <v>4.3026596331462389E-3</v>
          </cell>
          <cell r="G615">
            <v>0.18006302237046853</v>
          </cell>
          <cell r="H615">
            <v>0.16146441059708888</v>
          </cell>
          <cell r="I615">
            <v>0.15553256483772643</v>
          </cell>
        </row>
        <row r="616">
          <cell r="A616" t="str">
            <v>D-T-ELC-Bus_c_S2</v>
          </cell>
          <cell r="B616" t="str">
            <v>VAR_fin</v>
          </cell>
          <cell r="C616" t="str">
            <v>TELC</v>
          </cell>
          <cell r="D616">
            <v>1.6442118251544572E-3</v>
          </cell>
          <cell r="E616">
            <v>2.8166664617620615E-3</v>
          </cell>
          <cell r="F616">
            <v>4.3026596331462389E-3</v>
          </cell>
          <cell r="G616">
            <v>0.18006302237046853</v>
          </cell>
          <cell r="H616">
            <v>0.16146441059708888</v>
          </cell>
          <cell r="I616">
            <v>0.15553256483772643</v>
          </cell>
        </row>
        <row r="617">
          <cell r="A617" t="str">
            <v>D-T-ELC-Bus_c_S2</v>
          </cell>
          <cell r="B617" t="str">
            <v>VAR_ncap</v>
          </cell>
          <cell r="C617" t="str">
            <v>-</v>
          </cell>
          <cell r="D617">
            <v>2.3328906693152301E-4</v>
          </cell>
          <cell r="E617">
            <v>1.14429880669313E-4</v>
          </cell>
          <cell r="F617">
            <v>2.3668598538596601E-4</v>
          </cell>
          <cell r="G617">
            <v>2.2049099705302399E-2</v>
          </cell>
          <cell r="H617">
            <v>1.6612817623653499E-2</v>
          </cell>
          <cell r="I617">
            <v>1.03808548844783E-2</v>
          </cell>
        </row>
        <row r="618">
          <cell r="A618" t="str">
            <v>D-T-ELC-Bus_c_S2</v>
          </cell>
          <cell r="B618" t="str">
            <v>VAR_cap</v>
          </cell>
          <cell r="C618" t="str">
            <v>-</v>
          </cell>
          <cell r="D618">
            <v>2.3328906693152301E-4</v>
          </cell>
          <cell r="E618">
            <v>3.4771894760083499E-4</v>
          </cell>
          <cell r="F618">
            <v>5.8440493298680095E-4</v>
          </cell>
          <cell r="G618">
            <v>2.25557509887515E-2</v>
          </cell>
          <cell r="H618">
            <v>2.0713472659044999E-2</v>
          </cell>
          <cell r="I618">
            <v>1.87465395387948E-2</v>
          </cell>
        </row>
        <row r="619">
          <cell r="A619" t="str">
            <v>T_C-HY-DSL-S4</v>
          </cell>
          <cell r="B619" t="str">
            <v>VAR_fout</v>
          </cell>
          <cell r="C619" t="str">
            <v>CO2_T</v>
          </cell>
          <cell r="D619">
            <v>2.5128907722098166</v>
          </cell>
          <cell r="E619">
            <v>3.6168815303041795</v>
          </cell>
          <cell r="F619">
            <v>3.2777444456874592</v>
          </cell>
          <cell r="G619">
            <v>20.443765595218562</v>
          </cell>
          <cell r="H619">
            <v>5.4871113542745977</v>
          </cell>
          <cell r="I619">
            <v>0.11809641260729362</v>
          </cell>
        </row>
        <row r="620">
          <cell r="A620" t="str">
            <v>T_C-HY-DSL-S4</v>
          </cell>
          <cell r="B620" t="str">
            <v>VAR_fout</v>
          </cell>
          <cell r="C620" t="str">
            <v>TPCAR</v>
          </cell>
          <cell r="D620">
            <v>4.6087847876054557E-2</v>
          </cell>
          <cell r="E620">
            <v>9.1829847522413591E-2</v>
          </cell>
          <cell r="F620">
            <v>8.6254852255026063E-2</v>
          </cell>
          <cell r="G620">
            <v>0.23032867779654667</v>
          </cell>
          <cell r="H620">
            <v>4.8814268881357155E-2</v>
          </cell>
          <cell r="I620">
            <v>1.1259720933299571E-3</v>
          </cell>
        </row>
        <row r="621">
          <cell r="A621" t="str">
            <v>T_C-HY-DSL-S4</v>
          </cell>
          <cell r="B621" t="str">
            <v>VAR_fin</v>
          </cell>
          <cell r="C621" t="str">
            <v>TDSL</v>
          </cell>
          <cell r="D621">
            <v>3.4282275200679654E-2</v>
          </cell>
          <cell r="E621">
            <v>4.9343540658993011E-2</v>
          </cell>
          <cell r="F621">
            <v>4.4716841005285994E-2</v>
          </cell>
          <cell r="G621">
            <v>0.27890539693340488</v>
          </cell>
          <cell r="H621">
            <v>7.4858272227484299E-2</v>
          </cell>
          <cell r="I621">
            <v>1.6111379619003206E-3</v>
          </cell>
        </row>
        <row r="622">
          <cell r="A622" t="str">
            <v>T_C-HY-DSL-S4</v>
          </cell>
          <cell r="B622" t="str">
            <v>VAR_ncap</v>
          </cell>
          <cell r="C622" t="str">
            <v>-</v>
          </cell>
          <cell r="E622">
            <v>4.5592890588382602E-5</v>
          </cell>
          <cell r="F622">
            <v>1.9380624578392299E-5</v>
          </cell>
          <cell r="G622">
            <v>1.3003389948130601E-2</v>
          </cell>
          <cell r="H622">
            <v>1.2484625884384701E-4</v>
          </cell>
        </row>
        <row r="623">
          <cell r="A623" t="str">
            <v>T_C-HY-DSL-S4</v>
          </cell>
          <cell r="B623" t="str">
            <v>VAR_cap</v>
          </cell>
          <cell r="C623" t="str">
            <v>-</v>
          </cell>
          <cell r="D623">
            <v>3.7722610885400553E-3</v>
          </cell>
          <cell r="E623">
            <v>7.2482432446025124E-3</v>
          </cell>
          <cell r="F623">
            <v>6.7926325966174176E-3</v>
          </cell>
          <cell r="G623">
            <v>1.8137725092870271E-2</v>
          </cell>
          <cell r="H623">
            <v>5.2541295947866303E-3</v>
          </cell>
          <cell r="I623">
            <v>1.0819226646530509E-4</v>
          </cell>
        </row>
        <row r="624">
          <cell r="A624" t="str">
            <v>D-T-ELC-Bus_c_S3</v>
          </cell>
          <cell r="B624" t="str">
            <v>VAR_fout</v>
          </cell>
          <cell r="C624" t="str">
            <v>T-ELC-Bus_c_BatSTGin_S3</v>
          </cell>
          <cell r="D624">
            <v>7.5273285406471943E-4</v>
          </cell>
          <cell r="E624">
            <v>1.7810611723562313E-3</v>
          </cell>
          <cell r="F624">
            <v>2.6631592321488826E-3</v>
          </cell>
          <cell r="G624">
            <v>5.7581081558415889E-2</v>
          </cell>
          <cell r="H624">
            <v>3.2472977093749633E-2</v>
          </cell>
          <cell r="I624">
            <v>4.6809663045713538E-2</v>
          </cell>
        </row>
        <row r="625">
          <cell r="A625" t="str">
            <v>D-T-ELC-Bus_c_S3</v>
          </cell>
          <cell r="B625" t="str">
            <v>VAR_fin</v>
          </cell>
          <cell r="C625" t="str">
            <v>TELC</v>
          </cell>
          <cell r="D625">
            <v>7.5273285406471943E-4</v>
          </cell>
          <cell r="E625">
            <v>1.7810611723562313E-3</v>
          </cell>
          <cell r="F625">
            <v>2.6631592321488826E-3</v>
          </cell>
          <cell r="G625">
            <v>5.7581081558415889E-2</v>
          </cell>
          <cell r="H625">
            <v>3.2472977093749633E-2</v>
          </cell>
          <cell r="I625">
            <v>4.6809663045713538E-2</v>
          </cell>
        </row>
        <row r="626">
          <cell r="A626" t="str">
            <v>D-T-ELC-Bus_c_S3</v>
          </cell>
          <cell r="B626" t="str">
            <v>VAR_ncap</v>
          </cell>
          <cell r="C626" t="str">
            <v>-</v>
          </cell>
          <cell r="D626">
            <v>1.3946312288156001E-4</v>
          </cell>
          <cell r="E626">
            <v>8.9792731567468805E-5</v>
          </cell>
          <cell r="F626">
            <v>1.2776922567313701E-4</v>
          </cell>
          <cell r="G626">
            <v>5.9110938603473204E-3</v>
          </cell>
          <cell r="H626">
            <v>3.9231214268266399E-3</v>
          </cell>
          <cell r="I626">
            <v>4.2952003239435602E-3</v>
          </cell>
        </row>
        <row r="627">
          <cell r="A627" t="str">
            <v>D-T-ELC-Bus_c_S3</v>
          </cell>
          <cell r="B627" t="str">
            <v>VAR_cap</v>
          </cell>
          <cell r="C627" t="str">
            <v>-</v>
          </cell>
          <cell r="D627">
            <v>1.3946312288156001E-4</v>
          </cell>
          <cell r="E627">
            <v>2.2925585444902899E-4</v>
          </cell>
          <cell r="F627">
            <v>3.57025080122165E-4</v>
          </cell>
          <cell r="G627">
            <v>6.1547967169932197E-3</v>
          </cell>
          <cell r="H627">
            <v>4.2477188297995504E-3</v>
          </cell>
          <cell r="I627">
            <v>5.6389527661896604E-3</v>
          </cell>
        </row>
        <row r="628">
          <cell r="A628" t="str">
            <v>D-T-ELC-Bus_c_S4</v>
          </cell>
          <cell r="B628" t="str">
            <v>VAR_fout</v>
          </cell>
          <cell r="C628" t="str">
            <v>T-ELC-Bus_c_BatSTGin_S4</v>
          </cell>
          <cell r="D628">
            <v>2.04796004355121E-5</v>
          </cell>
          <cell r="E628">
            <v>5.3927069986725942E-4</v>
          </cell>
          <cell r="F628">
            <v>9.5190261876228633E-4</v>
          </cell>
          <cell r="G628">
            <v>5.9955080125965521E-4</v>
          </cell>
          <cell r="H628">
            <v>2.8204817404789396E-3</v>
          </cell>
          <cell r="I628">
            <v>2.4759802288155728E-3</v>
          </cell>
        </row>
        <row r="629">
          <cell r="A629" t="str">
            <v>D-T-ELC-Bus_c_S4</v>
          </cell>
          <cell r="B629" t="str">
            <v>VAR_fin</v>
          </cell>
          <cell r="C629" t="str">
            <v>TELC</v>
          </cell>
          <cell r="D629">
            <v>2.04796004355121E-5</v>
          </cell>
          <cell r="E629">
            <v>5.3927069986725942E-4</v>
          </cell>
          <cell r="F629">
            <v>9.5190261876228633E-4</v>
          </cell>
          <cell r="G629">
            <v>5.9955080125965521E-4</v>
          </cell>
          <cell r="H629">
            <v>2.8204817404789396E-3</v>
          </cell>
          <cell r="I629">
            <v>2.4759802288155728E-3</v>
          </cell>
        </row>
        <row r="630">
          <cell r="A630" t="str">
            <v>D-T-ELC-Bus_c_S4</v>
          </cell>
          <cell r="B630" t="str">
            <v>VAR_ncap</v>
          </cell>
          <cell r="C630" t="str">
            <v>-</v>
          </cell>
          <cell r="D630">
            <v>5.9473915604426097E-5</v>
          </cell>
          <cell r="E630">
            <v>3.8365687969466202E-5</v>
          </cell>
          <cell r="F630">
            <v>2.6884487030472499E-5</v>
          </cell>
          <cell r="G630">
            <v>2.05253165149424E-5</v>
          </cell>
          <cell r="H630">
            <v>6.0108599025616701E-4</v>
          </cell>
          <cell r="I630">
            <v>3.3421960076057499E-4</v>
          </cell>
        </row>
        <row r="631">
          <cell r="A631" t="str">
            <v>D-T-ELC-Bus_c_S4</v>
          </cell>
          <cell r="B631" t="str">
            <v>VAR_cap</v>
          </cell>
          <cell r="C631" t="str">
            <v>-</v>
          </cell>
          <cell r="D631">
            <v>5.9473915604426097E-5</v>
          </cell>
          <cell r="E631">
            <v>9.7839603573892305E-5</v>
          </cell>
          <cell r="F631">
            <v>1.2472409060436499E-4</v>
          </cell>
          <cell r="G631">
            <v>6.0981325366565197E-5</v>
          </cell>
          <cell r="H631">
            <v>7.3116708772107196E-4</v>
          </cell>
          <cell r="I631">
            <v>4.3970336150376101E-4</v>
          </cell>
        </row>
        <row r="632">
          <cell r="A632" t="str">
            <v>D-TH2O</v>
          </cell>
          <cell r="B632" t="str">
            <v>VAR_fout</v>
          </cell>
          <cell r="C632" t="str">
            <v>TH2O</v>
          </cell>
          <cell r="D632">
            <v>3.5102698047427845E-3</v>
          </cell>
          <cell r="E632">
            <v>3.9578378055876232E-3</v>
          </cell>
          <cell r="F632">
            <v>4.1043978921864871E-3</v>
          </cell>
          <cell r="H632">
            <v>1.678495643973563E-2</v>
          </cell>
          <cell r="I632">
            <v>0.23250314402091976</v>
          </cell>
        </row>
        <row r="633">
          <cell r="A633" t="str">
            <v>D-TH2O</v>
          </cell>
          <cell r="B633" t="str">
            <v>VAR_fin</v>
          </cell>
          <cell r="C633" t="str">
            <v>H2</v>
          </cell>
          <cell r="D633">
            <v>3.5102698047427845E-3</v>
          </cell>
          <cell r="E633">
            <v>3.9578378055876232E-3</v>
          </cell>
          <cell r="F633">
            <v>4.1043978921864871E-3</v>
          </cell>
          <cell r="H633">
            <v>1.678495643973563E-2</v>
          </cell>
          <cell r="I633">
            <v>0.23250314402091976</v>
          </cell>
        </row>
        <row r="634">
          <cell r="A634" t="str">
            <v>D-TH2O</v>
          </cell>
          <cell r="B634" t="str">
            <v>VAR_ncap</v>
          </cell>
          <cell r="C634" t="str">
            <v>-</v>
          </cell>
          <cell r="D634">
            <v>1.03434216785253E-3</v>
          </cell>
          <cell r="E634">
            <v>2.7142324663722202E-6</v>
          </cell>
          <cell r="F634">
            <v>1.4845914005990499E-6</v>
          </cell>
          <cell r="G634">
            <v>8.8756589682818301E-7</v>
          </cell>
          <cell r="H634">
            <v>2.9181201189189001E-3</v>
          </cell>
          <cell r="I634">
            <v>4.3166955724993801E-2</v>
          </cell>
        </row>
        <row r="635">
          <cell r="A635" t="str">
            <v>D-TH2O</v>
          </cell>
          <cell r="B635" t="str">
            <v>VAR_cap</v>
          </cell>
          <cell r="C635" t="str">
            <v>-</v>
          </cell>
          <cell r="D635">
            <v>1.03434216785253E-3</v>
          </cell>
          <cell r="E635">
            <v>1.0370564003188999E-3</v>
          </cell>
          <cell r="F635">
            <v>1.0385409917195E-3</v>
          </cell>
          <cell r="G635">
            <v>1.0394285576163301E-3</v>
          </cell>
          <cell r="H635">
            <v>3.9601654253369704E-3</v>
          </cell>
          <cell r="I635">
            <v>4.7127121150330797E-2</v>
          </cell>
        </row>
        <row r="636">
          <cell r="A636" t="str">
            <v>TFHGV-HYBDSL</v>
          </cell>
          <cell r="B636" t="str">
            <v>VAR_fout</v>
          </cell>
          <cell r="C636" t="str">
            <v>CO2_T</v>
          </cell>
          <cell r="E636">
            <v>67.770957145138198</v>
          </cell>
          <cell r="F636">
            <v>304.65362139875197</v>
          </cell>
          <cell r="G636">
            <v>1007.7282512119996</v>
          </cell>
          <cell r="H636">
            <v>1122.238583229934</v>
          </cell>
          <cell r="I636">
            <v>85.4336654669155</v>
          </cell>
        </row>
        <row r="637">
          <cell r="A637" t="str">
            <v>TFHGV-HYBDSL</v>
          </cell>
          <cell r="B637" t="str">
            <v>VAR_fout</v>
          </cell>
          <cell r="C637" t="str">
            <v>TFHGV</v>
          </cell>
          <cell r="E637">
            <v>0.15113649424420242</v>
          </cell>
          <cell r="F637">
            <v>0.6794102110495438</v>
          </cell>
          <cell r="G637">
            <v>2.2473419508130483</v>
          </cell>
          <cell r="H637">
            <v>2.5027122578734367</v>
          </cell>
          <cell r="I637">
            <v>0.19052622587945664</v>
          </cell>
        </row>
        <row r="638">
          <cell r="A638" t="str">
            <v>TFHGV-HYBDSL</v>
          </cell>
          <cell r="B638" t="str">
            <v>VAR_fin</v>
          </cell>
          <cell r="C638" t="str">
            <v>TDSL</v>
          </cell>
          <cell r="E638">
            <v>0.92456967455850159</v>
          </cell>
          <cell r="F638">
            <v>4.156256772152144</v>
          </cell>
          <cell r="G638">
            <v>13.747997970150056</v>
          </cell>
          <cell r="H638">
            <v>15.310212595224218</v>
          </cell>
          <cell r="I638">
            <v>1.1655343174204023</v>
          </cell>
        </row>
        <row r="639">
          <cell r="A639" t="str">
            <v>TFHGV-HYBDSL</v>
          </cell>
          <cell r="B639" t="str">
            <v>VAR_ncap</v>
          </cell>
          <cell r="C639" t="str">
            <v>-</v>
          </cell>
          <cell r="E639">
            <v>2.8437965874147301E-3</v>
          </cell>
          <cell r="F639">
            <v>9.9466785656629197E-3</v>
          </cell>
          <cell r="G639">
            <v>3.6061349344852299E-2</v>
          </cell>
          <cell r="H639">
            <v>2.3466149238831099E-2</v>
          </cell>
          <cell r="I639">
            <v>9.9812468039906302E-4</v>
          </cell>
        </row>
        <row r="640">
          <cell r="A640" t="str">
            <v>TFHGV-HYBDSL</v>
          </cell>
          <cell r="B640" t="str">
            <v>VAR_cap</v>
          </cell>
          <cell r="C640" t="str">
            <v>-</v>
          </cell>
          <cell r="E640">
            <v>2.8437965874147301E-3</v>
          </cell>
          <cell r="F640">
            <v>1.2790432547377302E-2</v>
          </cell>
          <cell r="G640">
            <v>4.4202531780719131E-2</v>
          </cell>
          <cell r="H640">
            <v>4.9161578995002571E-2</v>
          </cell>
          <cell r="I640">
            <v>5.1161531658235537E-3</v>
          </cell>
        </row>
        <row r="641">
          <cell r="A641" t="str">
            <v>D-TKER</v>
          </cell>
          <cell r="B641" t="str">
            <v>VAR_fout</v>
          </cell>
          <cell r="C641" t="str">
            <v>CO2</v>
          </cell>
          <cell r="D641">
            <v>80.763254672403804</v>
          </cell>
          <cell r="E641">
            <v>102.299643522715</v>
          </cell>
          <cell r="F641">
            <v>134.604226798182</v>
          </cell>
          <cell r="G641">
            <v>148.14372224578401</v>
          </cell>
          <cell r="H641">
            <v>132.56864746629199</v>
          </cell>
          <cell r="I641">
            <v>1.14204426107086E-4</v>
          </cell>
        </row>
        <row r="642">
          <cell r="A642" t="str">
            <v>D-TKER</v>
          </cell>
          <cell r="B642" t="str">
            <v>VAR_fout</v>
          </cell>
          <cell r="C642" t="str">
            <v>TKER</v>
          </cell>
          <cell r="D642">
            <v>1.0930817228491501</v>
          </cell>
          <cell r="E642">
            <v>1.3845636984571901</v>
          </cell>
          <cell r="F642">
            <v>1.82178666186924</v>
          </cell>
          <cell r="G642">
            <v>2.0050355300631399</v>
          </cell>
          <cell r="H642">
            <v>1.79423632883569</v>
          </cell>
          <cell r="I642">
            <v>1.54568771841222E-6</v>
          </cell>
        </row>
        <row r="643">
          <cell r="A643" t="str">
            <v>D-TKER</v>
          </cell>
          <cell r="B643" t="str">
            <v>VAR_fin</v>
          </cell>
          <cell r="C643" t="str">
            <v>KER</v>
          </cell>
          <cell r="D643">
            <v>1.1093853663791744</v>
          </cell>
          <cell r="E643">
            <v>1.4052148835537817</v>
          </cell>
          <cell r="F643">
            <v>1.8489591593156731</v>
          </cell>
          <cell r="G643">
            <v>2.0349412396398781</v>
          </cell>
          <cell r="H643">
            <v>1.8209979047567539</v>
          </cell>
          <cell r="I643">
            <v>1.5687421168555827E-6</v>
          </cell>
        </row>
        <row r="644">
          <cell r="A644" t="str">
            <v>T_B_u-BEVELC-S1</v>
          </cell>
          <cell r="B644" t="str">
            <v>VAR_fout</v>
          </cell>
          <cell r="C644" t="str">
            <v>TPBSu</v>
          </cell>
          <cell r="D644">
            <v>1.473188943261371E-7</v>
          </cell>
          <cell r="E644">
            <v>2.6247910562609911E-3</v>
          </cell>
          <cell r="F644">
            <v>5.5037483634014246E-3</v>
          </cell>
          <cell r="G644">
            <v>0.10983364394349759</v>
          </cell>
          <cell r="H644">
            <v>0.11550862933352236</v>
          </cell>
          <cell r="I644">
            <v>0.10610012187867886</v>
          </cell>
        </row>
        <row r="645">
          <cell r="A645" t="str">
            <v>T_B_u-BEVELC-S1</v>
          </cell>
          <cell r="B645" t="str">
            <v>VAR_fin</v>
          </cell>
          <cell r="C645" t="str">
            <v>T-ELC-Bus_u_BatSTGout_S1</v>
          </cell>
          <cell r="D645">
            <v>3.8901909964459571E-7</v>
          </cell>
          <cell r="E645">
            <v>6.6886753050287929E-3</v>
          </cell>
          <cell r="F645">
            <v>1.365573724216226E-2</v>
          </cell>
          <cell r="G645">
            <v>0.24567112331128674</v>
          </cell>
          <cell r="H645">
            <v>0.2437458800624627</v>
          </cell>
          <cell r="I645">
            <v>0.20089672843156237</v>
          </cell>
        </row>
        <row r="646">
          <cell r="A646" t="str">
            <v>T_B_u-BEVELC-S1</v>
          </cell>
          <cell r="B646" t="str">
            <v>VAR_ncap</v>
          </cell>
          <cell r="C646" t="str">
            <v>-</v>
          </cell>
          <cell r="E646">
            <v>5.1825102628653398E-5</v>
          </cell>
          <cell r="F646">
            <v>5.8246388277265799E-5</v>
          </cell>
          <cell r="G646">
            <v>2.1627613385922801E-3</v>
          </cell>
          <cell r="H646">
            <v>2.9034764275098898E-4</v>
          </cell>
          <cell r="I646">
            <v>1.6833651537802299E-3</v>
          </cell>
        </row>
        <row r="647">
          <cell r="A647" t="str">
            <v>T_B_u-BEVELC-S1</v>
          </cell>
          <cell r="B647" t="str">
            <v>VAR_cap</v>
          </cell>
          <cell r="C647" t="str">
            <v>-</v>
          </cell>
          <cell r="D647">
            <v>3.02390998593531E-8</v>
          </cell>
          <cell r="E647">
            <v>5.1866593486599954E-5</v>
          </cell>
          <cell r="F647">
            <v>1.0940525726620859E-4</v>
          </cell>
          <cell r="G647">
            <v>2.1787133230716993E-3</v>
          </cell>
          <cell r="H647">
            <v>2.512236814114794E-3</v>
          </cell>
          <cell r="I647">
            <v>2.2172361771097488E-3</v>
          </cell>
        </row>
        <row r="648">
          <cell r="A648" t="str">
            <v>TPSHPH2OEXT</v>
          </cell>
          <cell r="B648" t="str">
            <v>VAR_fout</v>
          </cell>
          <cell r="C648" t="str">
            <v>TPSHP</v>
          </cell>
          <cell r="H648">
            <v>1.5917533756011799E-4</v>
          </cell>
          <cell r="I648">
            <v>1.00992393546328E-4</v>
          </cell>
        </row>
        <row r="649">
          <cell r="A649" t="str">
            <v>TPSHPH2OEXT</v>
          </cell>
          <cell r="B649" t="str">
            <v>VAR_fin</v>
          </cell>
          <cell r="C649" t="str">
            <v>TH2O</v>
          </cell>
          <cell r="H649">
            <v>8.8752309427459533E-5</v>
          </cell>
          <cell r="I649">
            <v>5.6310910340982753E-5</v>
          </cell>
        </row>
        <row r="650">
          <cell r="A650" t="str">
            <v>TPSHPH2OEXT</v>
          </cell>
          <cell r="B650" t="str">
            <v>VAR_ncap</v>
          </cell>
          <cell r="C650" t="str">
            <v>-</v>
          </cell>
          <cell r="G650">
            <v>1.2651854937816399E-5</v>
          </cell>
          <cell r="H650">
            <v>2.34630867798409E-6</v>
          </cell>
          <cell r="I650">
            <v>1.1275058737102399E-6</v>
          </cell>
        </row>
        <row r="651">
          <cell r="A651" t="str">
            <v>TPSHPH2OEXT</v>
          </cell>
          <cell r="B651" t="str">
            <v>VAR_cap</v>
          </cell>
          <cell r="C651" t="str">
            <v>-</v>
          </cell>
          <cell r="G651">
            <v>1.2651854937816399E-5</v>
          </cell>
          <cell r="H651">
            <v>4.674373851447998E-7</v>
          </cell>
          <cell r="I651">
            <v>6.9177366795020089E-7</v>
          </cell>
        </row>
        <row r="652">
          <cell r="A652" t="str">
            <v>T_B_u-BEVELC-S2</v>
          </cell>
          <cell r="B652" t="str">
            <v>VAR_fout</v>
          </cell>
          <cell r="C652" t="str">
            <v>TPBSu</v>
          </cell>
          <cell r="D652">
            <v>4.5848807802158204E-4</v>
          </cell>
          <cell r="E652">
            <v>1.2320507078672827E-3</v>
          </cell>
          <cell r="F652">
            <v>2.5451238834644616E-3</v>
          </cell>
          <cell r="G652">
            <v>3.9678191106876759E-2</v>
          </cell>
          <cell r="H652">
            <v>4.1835705406466479E-2</v>
          </cell>
          <cell r="I652">
            <v>4.5169249687422058E-2</v>
          </cell>
        </row>
        <row r="653">
          <cell r="A653" t="str">
            <v>T_B_u-BEVELC-S2</v>
          </cell>
          <cell r="B653" t="str">
            <v>VAR_fin</v>
          </cell>
          <cell r="C653" t="str">
            <v>T-ELC-Bus_u_BatSTGout_S2</v>
          </cell>
          <cell r="D653">
            <v>1.6661345426818765E-3</v>
          </cell>
          <cell r="E653">
            <v>4.3847009699742008E-3</v>
          </cell>
          <cell r="F653">
            <v>8.7690603774879406E-3</v>
          </cell>
          <cell r="G653">
            <v>0.12280353231038385</v>
          </cell>
          <cell r="H653">
            <v>0.12147265189803325</v>
          </cell>
          <cell r="I653">
            <v>0.11831231093587612</v>
          </cell>
        </row>
        <row r="654">
          <cell r="A654" t="str">
            <v>T_B_u-BEVELC-S2</v>
          </cell>
          <cell r="B654" t="str">
            <v>VAR_ncap</v>
          </cell>
          <cell r="C654" t="str">
            <v>-</v>
          </cell>
          <cell r="E654">
            <v>1.3753829138311999E-5</v>
          </cell>
          <cell r="F654">
            <v>2.5704315493304201E-5</v>
          </cell>
          <cell r="G654">
            <v>7.3743605420080005E-4</v>
          </cell>
          <cell r="H654">
            <v>1.58629417311397E-4</v>
          </cell>
          <cell r="I654">
            <v>6.6566599561381705E-4</v>
          </cell>
        </row>
        <row r="655">
          <cell r="A655" t="str">
            <v>T_B_u-BEVELC-S2</v>
          </cell>
          <cell r="B655" t="str">
            <v>VAR_cap</v>
          </cell>
          <cell r="C655" t="str">
            <v>-</v>
          </cell>
          <cell r="D655">
            <v>7.9226441631504902E-6</v>
          </cell>
          <cell r="E655">
            <v>2.4609485257015351E-5</v>
          </cell>
          <cell r="F655">
            <v>5.0222411476124584E-5</v>
          </cell>
          <cell r="G655">
            <v>7.7221738541979413E-4</v>
          </cell>
          <cell r="H655">
            <v>7.9406074767664702E-4</v>
          </cell>
          <cell r="I655">
            <v>8.5482788592033238E-4</v>
          </cell>
        </row>
        <row r="656">
          <cell r="A656" t="str">
            <v>TFHGV-ICEDSL</v>
          </cell>
          <cell r="B656" t="str">
            <v>VAR_fout</v>
          </cell>
          <cell r="C656" t="str">
            <v>CO2_T</v>
          </cell>
          <cell r="D656">
            <v>382.35275857230954</v>
          </cell>
          <cell r="E656">
            <v>449.00189372201402</v>
          </cell>
          <cell r="F656">
            <v>350.32067428671633</v>
          </cell>
          <cell r="G656">
            <v>3.1850639674035788E-3</v>
          </cell>
          <cell r="H656">
            <v>0.59497162885514998</v>
          </cell>
          <cell r="I656">
            <v>0.19628406755896308</v>
          </cell>
        </row>
        <row r="657">
          <cell r="A657" t="str">
            <v>TFHGV-ICEDSL</v>
          </cell>
          <cell r="B657" t="str">
            <v>VAR_fout</v>
          </cell>
          <cell r="C657" t="str">
            <v>TFHGV</v>
          </cell>
          <cell r="D657">
            <v>0.61918985535320514</v>
          </cell>
          <cell r="E657">
            <v>0.72712282413014484</v>
          </cell>
          <cell r="F657">
            <v>0.56731644476368259</v>
          </cell>
          <cell r="G657">
            <v>5.1579575484986629E-6</v>
          </cell>
          <cell r="H657">
            <v>9.6350919027150415E-4</v>
          </cell>
          <cell r="I657">
            <v>3.1786642223738105E-4</v>
          </cell>
        </row>
        <row r="658">
          <cell r="A658" t="str">
            <v>TFHGV-ICEDSL</v>
          </cell>
          <cell r="B658" t="str">
            <v>VAR_fin</v>
          </cell>
          <cell r="C658" t="str">
            <v>TDSL</v>
          </cell>
          <cell r="D658">
            <v>5.2162722861160908</v>
          </cell>
          <cell r="E658">
            <v>6.1255374314053848</v>
          </cell>
          <cell r="F658">
            <v>4.7792725005008903</v>
          </cell>
          <cell r="G658">
            <v>4.3452441574400787E-5</v>
          </cell>
          <cell r="H658">
            <v>8.1169390021166472E-3</v>
          </cell>
          <cell r="I658">
            <v>2.6778181113091813E-3</v>
          </cell>
        </row>
        <row r="659">
          <cell r="A659" t="str">
            <v>TFHGV-ICEDSL</v>
          </cell>
          <cell r="B659" t="str">
            <v>VAR_ncap</v>
          </cell>
          <cell r="C659" t="str">
            <v>-</v>
          </cell>
          <cell r="E659">
            <v>6.6662164459355801E-6</v>
          </cell>
          <cell r="F659">
            <v>4.9874323887414698E-6</v>
          </cell>
          <cell r="G659">
            <v>1.4765994398374901E-8</v>
          </cell>
          <cell r="H659">
            <v>1.2475932633011301E-5</v>
          </cell>
          <cell r="I659">
            <v>5.3590455862930597E-6</v>
          </cell>
        </row>
        <row r="660">
          <cell r="A660" t="str">
            <v>TFHGV-ICEDSL</v>
          </cell>
          <cell r="B660" t="str">
            <v>VAR_cap</v>
          </cell>
          <cell r="C660" t="str">
            <v>-</v>
          </cell>
          <cell r="D660">
            <v>1.1681374756847541E-2</v>
          </cell>
          <cell r="E660">
            <v>1.3684151444588327E-2</v>
          </cell>
          <cell r="F660">
            <v>1.0712968727948826E-2</v>
          </cell>
          <cell r="G660">
            <v>3.0286839280664959E-8</v>
          </cell>
          <cell r="H660">
            <v>2.2815157549893976E-5</v>
          </cell>
          <cell r="I660">
            <v>7.5439681594208537E-6</v>
          </cell>
        </row>
        <row r="661">
          <cell r="A661" t="str">
            <v>D-T-ELC-Bus_u_S1</v>
          </cell>
          <cell r="B661" t="str">
            <v>VAR_fout</v>
          </cell>
          <cell r="C661" t="str">
            <v>T-ELC-Bus_u_BatSTGin_S1</v>
          </cell>
          <cell r="D661">
            <v>2.9044610542476177E-5</v>
          </cell>
          <cell r="E661">
            <v>6.7424859142736146E-3</v>
          </cell>
          <cell r="F661">
            <v>1.3732722534018823E-2</v>
          </cell>
          <cell r="G661">
            <v>0.2469033759021427</v>
          </cell>
          <cell r="H661">
            <v>0.24491098375208589</v>
          </cell>
          <cell r="I661">
            <v>0.20253344384004168</v>
          </cell>
        </row>
        <row r="662">
          <cell r="A662" t="str">
            <v>D-T-ELC-Bus_u_S1</v>
          </cell>
          <cell r="B662" t="str">
            <v>VAR_fin</v>
          </cell>
          <cell r="C662" t="str">
            <v>TELC</v>
          </cell>
          <cell r="D662">
            <v>2.9044610542476177E-5</v>
          </cell>
          <cell r="E662">
            <v>6.7424859142736146E-3</v>
          </cell>
          <cell r="F662">
            <v>1.3732722534018823E-2</v>
          </cell>
          <cell r="G662">
            <v>0.2469033759021427</v>
          </cell>
          <cell r="H662">
            <v>0.24491098375208589</v>
          </cell>
          <cell r="I662">
            <v>0.20253344384004168</v>
          </cell>
        </row>
        <row r="663">
          <cell r="A663" t="str">
            <v>D-T-ELC-Bus_u_S1</v>
          </cell>
          <cell r="B663" t="str">
            <v>VAR_ncap</v>
          </cell>
          <cell r="C663" t="str">
            <v>-</v>
          </cell>
          <cell r="D663">
            <v>1.29086618350959E-3</v>
          </cell>
          <cell r="E663">
            <v>1.2351549969492699E-3</v>
          </cell>
          <cell r="F663">
            <v>2.5566328704264502E-3</v>
          </cell>
          <cell r="G663">
            <v>2.17517969185003E-2</v>
          </cell>
          <cell r="H663">
            <v>1.9329932165486001E-2</v>
          </cell>
          <cell r="I663">
            <v>1.1249851109474599E-2</v>
          </cell>
        </row>
        <row r="664">
          <cell r="A664" t="str">
            <v>D-T-ELC-Bus_u_S1</v>
          </cell>
          <cell r="B664" t="str">
            <v>VAR_cap</v>
          </cell>
          <cell r="C664" t="str">
            <v>-</v>
          </cell>
          <cell r="D664">
            <v>1.29086618350959E-3</v>
          </cell>
          <cell r="E664">
            <v>2.5260211804588599E-3</v>
          </cell>
          <cell r="F664">
            <v>5.0826540508853201E-3</v>
          </cell>
          <cell r="G664">
            <v>2.6324454994091698E-2</v>
          </cell>
          <cell r="H664">
            <v>2.5946021122937899E-2</v>
          </cell>
          <cell r="I664">
            <v>2.1428854177002299E-2</v>
          </cell>
        </row>
        <row r="665">
          <cell r="A665" t="str">
            <v>T-Plg-DSL-mix_S1</v>
          </cell>
          <cell r="B665" t="str">
            <v>VAR_fout</v>
          </cell>
          <cell r="C665" t="str">
            <v>CO2_T</v>
          </cell>
          <cell r="D665">
            <v>1.63431077214895E-3</v>
          </cell>
          <cell r="E665">
            <v>0.89859388197608603</v>
          </cell>
          <cell r="F665">
            <v>1.0166112185353591</v>
          </cell>
          <cell r="G665">
            <v>3.9702422678063879E-3</v>
          </cell>
          <cell r="H665">
            <v>0.69592772493515531</v>
          </cell>
          <cell r="I665">
            <v>0.31972729549770706</v>
          </cell>
        </row>
        <row r="666">
          <cell r="A666" t="str">
            <v>T-Plg-DSL-mix_S1</v>
          </cell>
          <cell r="B666" t="str">
            <v>VAR_fout</v>
          </cell>
          <cell r="C666" t="str">
            <v>T-PEVmix-ELC_DSL_S1</v>
          </cell>
          <cell r="D666">
            <v>1.6240672239868779E-5</v>
          </cell>
          <cell r="E666">
            <v>8.9296166693777768E-3</v>
          </cell>
          <cell r="F666">
            <v>1.0102392933442401E-2</v>
          </cell>
          <cell r="G666">
            <v>3.9453575466270092E-5</v>
          </cell>
          <cell r="H666">
            <v>7.4707379288089862E-3</v>
          </cell>
          <cell r="I666">
            <v>3.7314728958624485E-3</v>
          </cell>
        </row>
        <row r="667">
          <cell r="A667" t="str">
            <v>T-Plg-DSL-mix_S1</v>
          </cell>
          <cell r="B667" t="str">
            <v>VAR_fin</v>
          </cell>
          <cell r="C667" t="str">
            <v>TDSL</v>
          </cell>
          <cell r="D667">
            <v>2.2296190615947551E-5</v>
          </cell>
          <cell r="E667">
            <v>1.2259125265703753E-2</v>
          </cell>
          <cell r="F667">
            <v>1.3869184427494656E-2</v>
          </cell>
          <cell r="G667">
            <v>5.4164287418913937E-5</v>
          </cell>
          <cell r="H667">
            <v>9.4942390850635255E-3</v>
          </cell>
          <cell r="I667">
            <v>4.3619003478541181E-3</v>
          </cell>
        </row>
        <row r="668">
          <cell r="A668" t="str">
            <v>T_B_u-BEVELC-S3</v>
          </cell>
          <cell r="B668" t="str">
            <v>VAR_fout</v>
          </cell>
          <cell r="C668" t="str">
            <v>TPBSu</v>
          </cell>
          <cell r="D668">
            <v>1.6958138634138738E-3</v>
          </cell>
          <cell r="E668">
            <v>2.9630197190032618E-3</v>
          </cell>
          <cell r="F668">
            <v>4.1272967140248001E-3</v>
          </cell>
          <cell r="G668">
            <v>0.17334067689344917</v>
          </cell>
          <cell r="H668">
            <v>0.16820539271410775</v>
          </cell>
          <cell r="I668">
            <v>0.19699022121061824</v>
          </cell>
        </row>
        <row r="669">
          <cell r="A669" t="str">
            <v>T_B_u-BEVELC-S3</v>
          </cell>
          <cell r="B669" t="str">
            <v>VAR_fin</v>
          </cell>
          <cell r="C669" t="str">
            <v>T-ELC-Bus_u_BatSTGout_S3</v>
          </cell>
          <cell r="D669">
            <v>9.268241187047414E-3</v>
          </cell>
          <cell r="E669">
            <v>1.6031081679144018E-2</v>
          </cell>
          <cell r="F669">
            <v>2.1900635940819615E-2</v>
          </cell>
          <cell r="G669">
            <v>0.80335436686124639</v>
          </cell>
          <cell r="H669">
            <v>0.71064895943496842</v>
          </cell>
          <cell r="I669">
            <v>0.76844291235908291</v>
          </cell>
        </row>
        <row r="670">
          <cell r="A670" t="str">
            <v>T_B_u-BEVELC-S3</v>
          </cell>
          <cell r="B670" t="str">
            <v>VAR_ncap</v>
          </cell>
          <cell r="C670" t="str">
            <v>-</v>
          </cell>
          <cell r="E670">
            <v>1.1014351968497501E-5</v>
          </cell>
          <cell r="F670">
            <v>2.0465212887201199E-5</v>
          </cell>
          <cell r="G670">
            <v>3.46062676465364E-3</v>
          </cell>
          <cell r="H670">
            <v>2.5416702924371099E-3</v>
          </cell>
          <cell r="I670">
            <v>2.8449925420169198E-3</v>
          </cell>
        </row>
        <row r="671">
          <cell r="A671" t="str">
            <v>T_B_u-BEVELC-S3</v>
          </cell>
          <cell r="B671" t="str">
            <v>VAR_cap</v>
          </cell>
          <cell r="C671" t="str">
            <v>-</v>
          </cell>
          <cell r="D671">
            <v>3.4165186166110071E-5</v>
          </cell>
          <cell r="E671">
            <v>5.8068042636602304E-5</v>
          </cell>
          <cell r="F671">
            <v>7.8658566082553762E-5</v>
          </cell>
          <cell r="G671">
            <v>3.4989172698789723E-3</v>
          </cell>
          <cell r="H671">
            <v>3.173182052887186E-3</v>
          </cell>
          <cell r="I671">
            <v>3.7155523740122712E-3</v>
          </cell>
        </row>
        <row r="672">
          <cell r="A672" t="str">
            <v>D-T-ELC-Bus_u_S2</v>
          </cell>
          <cell r="B672" t="str">
            <v>VAR_fout</v>
          </cell>
          <cell r="C672" t="str">
            <v>T-ELC-Bus_u_BatSTGin_S2</v>
          </cell>
          <cell r="D672">
            <v>1.5234169949485306E-3</v>
          </cell>
          <cell r="E672">
            <v>4.3956102696445978E-3</v>
          </cell>
          <cell r="F672">
            <v>8.7976540238744409E-3</v>
          </cell>
          <cell r="G672">
            <v>0.12400356132568502</v>
          </cell>
          <cell r="H672">
            <v>0.12267203622138168</v>
          </cell>
          <cell r="I672">
            <v>0.11996044890394231</v>
          </cell>
        </row>
        <row r="673">
          <cell r="A673" t="str">
            <v>D-T-ELC-Bus_u_S2</v>
          </cell>
          <cell r="B673" t="str">
            <v>VAR_fin</v>
          </cell>
          <cell r="C673" t="str">
            <v>TELC</v>
          </cell>
          <cell r="D673">
            <v>1.5234169949485306E-3</v>
          </cell>
          <cell r="E673">
            <v>4.3956102696445978E-3</v>
          </cell>
          <cell r="F673">
            <v>8.7976540238744409E-3</v>
          </cell>
          <cell r="G673">
            <v>0.12400356132568502</v>
          </cell>
          <cell r="H673">
            <v>0.12267203622138168</v>
          </cell>
          <cell r="I673">
            <v>0.11996044890394231</v>
          </cell>
        </row>
        <row r="674">
          <cell r="A674" t="str">
            <v>D-T-ELC-Bus_u_S2</v>
          </cell>
          <cell r="B674" t="str">
            <v>VAR_ncap</v>
          </cell>
          <cell r="C674" t="str">
            <v>-</v>
          </cell>
          <cell r="D674">
            <v>1.25336528828296E-3</v>
          </cell>
          <cell r="E674">
            <v>1.16035224630833E-3</v>
          </cell>
          <cell r="F674">
            <v>2.2367039626178501E-3</v>
          </cell>
          <cell r="G674">
            <v>9.4476935408754799E-3</v>
          </cell>
          <cell r="H674">
            <v>8.8119631299128295E-3</v>
          </cell>
          <cell r="I674">
            <v>7.8172101903517706E-3</v>
          </cell>
        </row>
        <row r="675">
          <cell r="A675" t="str">
            <v>D-T-ELC-Bus_u_S2</v>
          </cell>
          <cell r="B675" t="str">
            <v>VAR_cap</v>
          </cell>
          <cell r="C675" t="str">
            <v>-</v>
          </cell>
          <cell r="D675">
            <v>1.25336528828296E-3</v>
          </cell>
          <cell r="E675">
            <v>2.4137175345912902E-3</v>
          </cell>
          <cell r="F675">
            <v>4.6504214972091402E-3</v>
          </cell>
          <cell r="G675">
            <v>1.3608091697135401E-2</v>
          </cell>
          <cell r="H675">
            <v>1.3160163431268501E-2</v>
          </cell>
          <cell r="I675">
            <v>1.27058544866973E-2</v>
          </cell>
        </row>
        <row r="676">
          <cell r="A676" t="str">
            <v>T-Plg-DSL-mix_S2</v>
          </cell>
          <cell r="B676" t="str">
            <v>VAR_fout</v>
          </cell>
          <cell r="C676" t="str">
            <v>CO2_T</v>
          </cell>
          <cell r="D676">
            <v>4.1247969201016E-3</v>
          </cell>
          <cell r="E676">
            <v>0.33221640767727101</v>
          </cell>
          <cell r="F676">
            <v>154.30864008213342</v>
          </cell>
          <cell r="G676">
            <v>3.2436217074932284E-3</v>
          </cell>
          <cell r="H676">
            <v>102.77614629129413</v>
          </cell>
          <cell r="I676">
            <v>18.018838649930938</v>
          </cell>
        </row>
        <row r="677">
          <cell r="A677" t="str">
            <v>T-Plg-DSL-mix_S2</v>
          </cell>
          <cell r="B677" t="str">
            <v>VAR_fout</v>
          </cell>
          <cell r="C677" t="str">
            <v>T-PEVmix-ELC_DSL_S2</v>
          </cell>
          <cell r="D677">
            <v>3.3511811722298011E-5</v>
          </cell>
          <cell r="E677">
            <v>2.6990840811781567E-3</v>
          </cell>
          <cell r="F677">
            <v>1.2536767733595322</v>
          </cell>
          <cell r="G677">
            <v>2.6352725253003298E-5</v>
          </cell>
          <cell r="H677">
            <v>0.93280858844819969</v>
          </cell>
          <cell r="I677">
            <v>0.18278909855774694</v>
          </cell>
        </row>
        <row r="678">
          <cell r="A678" t="str">
            <v>T-Plg-DSL-mix_S2</v>
          </cell>
          <cell r="B678" t="str">
            <v>VAR_fin</v>
          </cell>
          <cell r="C678" t="str">
            <v>TDSL</v>
          </cell>
          <cell r="D678">
            <v>5.6272809278330133E-5</v>
          </cell>
          <cell r="E678">
            <v>4.5322838700855529E-3</v>
          </cell>
          <cell r="F678">
            <v>2.1051656218572079</v>
          </cell>
          <cell r="G678">
            <v>4.4251319338243112E-5</v>
          </cell>
          <cell r="H678">
            <v>1.4021302358976</v>
          </cell>
          <cell r="I678">
            <v>0.24582317394175898</v>
          </cell>
        </row>
        <row r="679">
          <cell r="A679" t="str">
            <v>T_B_u-BEVELC-S4</v>
          </cell>
          <cell r="B679" t="str">
            <v>VAR_fout</v>
          </cell>
          <cell r="C679" t="str">
            <v>TPBSu</v>
          </cell>
          <cell r="D679">
            <v>5.8275735625498247E-5</v>
          </cell>
          <cell r="E679">
            <v>2.2365277624424433E-4</v>
          </cell>
          <cell r="F679">
            <v>4.5936631252539245E-4</v>
          </cell>
          <cell r="G679">
            <v>5.4812247446028995E-5</v>
          </cell>
          <cell r="H679">
            <v>1.3422687657591622E-4</v>
          </cell>
          <cell r="I679">
            <v>1.0049292428440143E-4</v>
          </cell>
        </row>
        <row r="680">
          <cell r="A680" t="str">
            <v>T_B_u-BEVELC-S4</v>
          </cell>
          <cell r="B680" t="str">
            <v>VAR_fin</v>
          </cell>
          <cell r="C680" t="str">
            <v>T-ELC-Bus_u_BatSTGout_S4</v>
          </cell>
          <cell r="D680">
            <v>4.7772045191947146E-4</v>
          </cell>
          <cell r="E680">
            <v>1.7868870864397855E-3</v>
          </cell>
          <cell r="F680">
            <v>3.5639902025774383E-3</v>
          </cell>
          <cell r="G680">
            <v>4.0900753443789674E-4</v>
          </cell>
          <cell r="H680">
            <v>8.5652136718215659E-4</v>
          </cell>
          <cell r="I680">
            <v>5.9301972006228201E-4</v>
          </cell>
        </row>
        <row r="681">
          <cell r="A681" t="str">
            <v>T_B_u-BEVELC-S4</v>
          </cell>
          <cell r="B681" t="str">
            <v>VAR_ncap</v>
          </cell>
          <cell r="C681" t="str">
            <v>-</v>
          </cell>
          <cell r="E681">
            <v>3.35174104403453E-6</v>
          </cell>
          <cell r="F681">
            <v>4.0228012365836799E-6</v>
          </cell>
          <cell r="G681">
            <v>3.14135746971367E-5</v>
          </cell>
          <cell r="H681">
            <v>4.4410688253892604E-6</v>
          </cell>
          <cell r="I681">
            <v>2.0104404013415001E-6</v>
          </cell>
        </row>
        <row r="682">
          <cell r="A682" t="str">
            <v>T_B_u-BEVELC-S4</v>
          </cell>
          <cell r="B682" t="str">
            <v>VAR_cap</v>
          </cell>
          <cell r="C682" t="str">
            <v>-</v>
          </cell>
          <cell r="D682">
            <v>4.2334739803094299E-7</v>
          </cell>
          <cell r="E682">
            <v>3.9326130552862885E-6</v>
          </cell>
          <cell r="F682">
            <v>7.8296120783035185E-6</v>
          </cell>
          <cell r="G682">
            <v>3.5388261779076125E-5</v>
          </cell>
          <cell r="H682">
            <v>5.97532680659483E-6</v>
          </cell>
          <cell r="I682">
            <v>2.778108728241598E-6</v>
          </cell>
        </row>
        <row r="683">
          <cell r="A683" t="str">
            <v>D-TBDS1</v>
          </cell>
          <cell r="B683" t="str">
            <v>VAR_fout</v>
          </cell>
          <cell r="C683" t="str">
            <v>TDSL</v>
          </cell>
          <cell r="D683">
            <v>2.9709444192319041</v>
          </cell>
          <cell r="E683">
            <v>2.9709356605148369</v>
          </cell>
          <cell r="F683">
            <v>2.9709704215618915</v>
          </cell>
          <cell r="G683">
            <v>2.4271574857959193</v>
          </cell>
          <cell r="H683">
            <v>2.6572298432854415</v>
          </cell>
          <cell r="I683">
            <v>16.247819673905862</v>
          </cell>
        </row>
        <row r="684">
          <cell r="A684" t="str">
            <v>D-TBDS1</v>
          </cell>
          <cell r="B684" t="str">
            <v>VAR_fout</v>
          </cell>
          <cell r="C684" t="str">
            <v>TKER</v>
          </cell>
          <cell r="G684">
            <v>0.54546008615826302</v>
          </cell>
          <cell r="H684">
            <v>0.32640752904397602</v>
          </cell>
          <cell r="I684">
            <v>1.6907831388932499</v>
          </cell>
        </row>
        <row r="685">
          <cell r="A685" t="str">
            <v>D-TBDS1</v>
          </cell>
          <cell r="B685" t="str">
            <v>VAR_fin</v>
          </cell>
          <cell r="C685" t="str">
            <v>BDS</v>
          </cell>
          <cell r="D685">
            <v>3.0152569511736269</v>
          </cell>
          <cell r="E685">
            <v>3.0152480618176591</v>
          </cell>
          <cell r="F685">
            <v>3.0152833413362137</v>
          </cell>
          <cell r="G685">
            <v>3.0169497150882871</v>
          </cell>
          <cell r="H685">
            <v>3.028128892071968</v>
          </cell>
          <cell r="I685">
            <v>18.206152402078523</v>
          </cell>
        </row>
        <row r="686">
          <cell r="A686" t="str">
            <v>D-T-ELC-Bus_u_S3</v>
          </cell>
          <cell r="B686" t="str">
            <v>VAR_fout</v>
          </cell>
          <cell r="C686" t="str">
            <v>T-ELC-Bus_u_BatSTGin_S3</v>
          </cell>
          <cell r="D686">
            <v>8.9412314008513027E-3</v>
          </cell>
          <cell r="E686">
            <v>1.5909177368807086E-2</v>
          </cell>
          <cell r="F686">
            <v>2.1778706491160284E-2</v>
          </cell>
          <cell r="G686">
            <v>0.80376834990261192</v>
          </cell>
          <cell r="H686">
            <v>0.71117460915711017</v>
          </cell>
          <cell r="I686">
            <v>0.76910337936644946</v>
          </cell>
        </row>
        <row r="687">
          <cell r="A687" t="str">
            <v>D-T-ELC-Bus_u_S3</v>
          </cell>
          <cell r="B687" t="str">
            <v>VAR_fin</v>
          </cell>
          <cell r="C687" t="str">
            <v>TELC</v>
          </cell>
          <cell r="D687">
            <v>8.9412314008513027E-3</v>
          </cell>
          <cell r="E687">
            <v>1.5909177368807086E-2</v>
          </cell>
          <cell r="F687">
            <v>2.1778706491160284E-2</v>
          </cell>
          <cell r="G687">
            <v>0.80376834990261192</v>
          </cell>
          <cell r="H687">
            <v>0.71117460915711017</v>
          </cell>
          <cell r="I687">
            <v>0.76910337936644946</v>
          </cell>
        </row>
        <row r="688">
          <cell r="A688" t="str">
            <v>D-T-ELC-Bus_u_S3</v>
          </cell>
          <cell r="B688" t="str">
            <v>VAR_ncap</v>
          </cell>
          <cell r="C688" t="str">
            <v>-</v>
          </cell>
          <cell r="D688">
            <v>1.3390834356045501E-3</v>
          </cell>
          <cell r="E688">
            <v>1.1549391811357999E-3</v>
          </cell>
          <cell r="F688">
            <v>1.3935918813944E-3</v>
          </cell>
          <cell r="G688">
            <v>8.2303008390843299E-2</v>
          </cell>
          <cell r="H688">
            <v>5.3963406508019597E-2</v>
          </cell>
          <cell r="I688">
            <v>6.2818929123186804E-2</v>
          </cell>
        </row>
        <row r="689">
          <cell r="A689" t="str">
            <v>D-T-ELC-Bus_u_S3</v>
          </cell>
          <cell r="B689" t="str">
            <v>VAR_cap</v>
          </cell>
          <cell r="C689" t="str">
            <v>-</v>
          </cell>
          <cell r="D689">
            <v>1.3390834356045501E-3</v>
          </cell>
          <cell r="E689">
            <v>2.49402261674036E-3</v>
          </cell>
          <cell r="F689">
            <v>3.8876144981347602E-3</v>
          </cell>
          <cell r="G689">
            <v>8.4983228515179296E-2</v>
          </cell>
          <cell r="H689">
            <v>7.5194306305159497E-2</v>
          </cell>
          <cell r="I689">
            <v>8.1302542398885499E-2</v>
          </cell>
        </row>
        <row r="690">
          <cell r="A690" t="str">
            <v>T-Plg-DSL-mix_S3</v>
          </cell>
          <cell r="B690" t="str">
            <v>VAR_fout</v>
          </cell>
          <cell r="C690" t="str">
            <v>CO2_T</v>
          </cell>
          <cell r="D690">
            <v>1.42758811767208E-2</v>
          </cell>
          <cell r="E690">
            <v>0.263870909350303</v>
          </cell>
          <cell r="F690">
            <v>0.76183524467932795</v>
          </cell>
          <cell r="G690">
            <v>6.6174111619031152E-3</v>
          </cell>
          <cell r="H690">
            <v>186.19996763617112</v>
          </cell>
          <cell r="I690">
            <v>210.96776147960142</v>
          </cell>
        </row>
        <row r="691">
          <cell r="A691" t="str">
            <v>T-Plg-DSL-mix_S3</v>
          </cell>
          <cell r="B691" t="str">
            <v>VAR_fout</v>
          </cell>
          <cell r="C691" t="str">
            <v>T-PEVmix-ELC_DSL_S3</v>
          </cell>
          <cell r="D691">
            <v>1.078156075753757E-4</v>
          </cell>
          <cell r="E691">
            <v>1.9928298688463033E-3</v>
          </cell>
          <cell r="F691">
            <v>5.7536013896904749E-3</v>
          </cell>
          <cell r="G691">
            <v>4.99766141343397E-5</v>
          </cell>
          <cell r="H691">
            <v>1.572044662871138</v>
          </cell>
          <cell r="I691">
            <v>1.9951421486313614</v>
          </cell>
        </row>
        <row r="692">
          <cell r="A692" t="str">
            <v>T-Plg-DSL-mix_S3</v>
          </cell>
          <cell r="B692" t="str">
            <v>VAR_fin</v>
          </cell>
          <cell r="C692" t="str">
            <v>TDSL</v>
          </cell>
          <cell r="D692">
            <v>1.9475963406167463E-4</v>
          </cell>
          <cell r="E692">
            <v>3.5998759802224221E-3</v>
          </cell>
          <cell r="F692">
            <v>1.0393386694124537E-2</v>
          </cell>
          <cell r="G692">
            <v>9.0278460598950967E-5</v>
          </cell>
          <cell r="H692">
            <v>2.5402451246408106</v>
          </cell>
          <cell r="I692">
            <v>2.8781413571569132</v>
          </cell>
        </row>
        <row r="693">
          <cell r="A693" t="str">
            <v>D-T-ELC-Bus_u_S4</v>
          </cell>
          <cell r="B693" t="str">
            <v>VAR_fout</v>
          </cell>
          <cell r="C693" t="str">
            <v>T-ELC-Bus_u_BatSTGin_S4</v>
          </cell>
          <cell r="D693">
            <v>3.0303544661697192E-4</v>
          </cell>
          <cell r="E693">
            <v>1.6055812014485697E-3</v>
          </cell>
          <cell r="F693">
            <v>3.3739092552891336E-3</v>
          </cell>
          <cell r="G693">
            <v>3.4774678187378021E-3</v>
          </cell>
          <cell r="H693">
            <v>2.4603232207274939E-3</v>
          </cell>
          <cell r="I693">
            <v>2.0579466654781281E-3</v>
          </cell>
        </row>
        <row r="694">
          <cell r="A694" t="str">
            <v>D-T-ELC-Bus_u_S4</v>
          </cell>
          <cell r="B694" t="str">
            <v>VAR_fin</v>
          </cell>
          <cell r="C694" t="str">
            <v>TELC</v>
          </cell>
          <cell r="D694">
            <v>3.0303544661697192E-4</v>
          </cell>
          <cell r="E694">
            <v>1.6055812014485697E-3</v>
          </cell>
          <cell r="F694">
            <v>3.3739092552891336E-3</v>
          </cell>
          <cell r="G694">
            <v>3.4774678187378021E-3</v>
          </cell>
          <cell r="H694">
            <v>2.4603232207274939E-3</v>
          </cell>
          <cell r="I694">
            <v>2.0579466654781281E-3</v>
          </cell>
        </row>
        <row r="695">
          <cell r="A695" t="str">
            <v>D-T-ELC-Bus_u_S4</v>
          </cell>
          <cell r="B695" t="str">
            <v>VAR_ncap</v>
          </cell>
          <cell r="C695" t="str">
            <v>-</v>
          </cell>
          <cell r="D695">
            <v>9.5642132451084002E-4</v>
          </cell>
          <cell r="E695">
            <v>7.4476872427266499E-4</v>
          </cell>
          <cell r="F695">
            <v>5.38155688192552E-4</v>
          </cell>
          <cell r="G695">
            <v>6.6214641553787696E-4</v>
          </cell>
          <cell r="H695">
            <v>8.3270910584829503E-4</v>
          </cell>
          <cell r="I695">
            <v>3.1347410807250402E-4</v>
          </cell>
        </row>
        <row r="696">
          <cell r="A696" t="str">
            <v>D-T-ELC-Bus_u_S4</v>
          </cell>
          <cell r="B696" t="str">
            <v>VAR_cap</v>
          </cell>
          <cell r="C696" t="str">
            <v>-</v>
          </cell>
          <cell r="D696">
            <v>9.5642132451084002E-4</v>
          </cell>
          <cell r="E696">
            <v>1.70119004878351E-3</v>
          </cell>
          <cell r="F696">
            <v>2.2393457369760598E-3</v>
          </cell>
          <cell r="G696">
            <v>1.4289535863521699E-3</v>
          </cell>
          <cell r="H696">
            <v>1.3228885026581099E-3</v>
          </cell>
          <cell r="I696">
            <v>4.59605093511941E-4</v>
          </cell>
        </row>
        <row r="697">
          <cell r="A697" t="str">
            <v>T_C-FC-H2O-S1</v>
          </cell>
          <cell r="B697" t="str">
            <v>VAR_fout</v>
          </cell>
          <cell r="C697" t="str">
            <v>TPCAR</v>
          </cell>
          <cell r="E697">
            <v>1.9164889454276426E-4</v>
          </cell>
          <cell r="F697">
            <v>5.4467924838600247E-4</v>
          </cell>
          <cell r="H697">
            <v>3.0843506412688544E-3</v>
          </cell>
          <cell r="I697">
            <v>2.2582779731995521E-3</v>
          </cell>
        </row>
        <row r="698">
          <cell r="A698" t="str">
            <v>T_C-FC-H2O-S1</v>
          </cell>
          <cell r="B698" t="str">
            <v>VAR_fin</v>
          </cell>
          <cell r="C698" t="str">
            <v>TH2O</v>
          </cell>
          <cell r="E698">
            <v>1.7477128955141626E-4</v>
          </cell>
          <cell r="F698">
            <v>4.9671194221825366E-4</v>
          </cell>
          <cell r="H698">
            <v>2.6107069136079865E-3</v>
          </cell>
          <cell r="I698">
            <v>1.7492671017243159E-3</v>
          </cell>
        </row>
        <row r="699">
          <cell r="A699" t="str">
            <v>T_C-FC-H2O-S1</v>
          </cell>
          <cell r="B699" t="str">
            <v>VAR_ncap</v>
          </cell>
          <cell r="C699" t="str">
            <v>-</v>
          </cell>
          <cell r="E699">
            <v>2.2583666444959101E-5</v>
          </cell>
          <cell r="F699">
            <v>5.59244874393104E-5</v>
          </cell>
          <cell r="G699">
            <v>3.2371101396897699E-5</v>
          </cell>
          <cell r="H699">
            <v>1.24420104816239E-4</v>
          </cell>
          <cell r="I699">
            <v>2.0024940304734501E-4</v>
          </cell>
        </row>
        <row r="700">
          <cell r="A700" t="str">
            <v>T_C-FC-H2O-S1</v>
          </cell>
          <cell r="B700" t="str">
            <v>VAR_cap</v>
          </cell>
          <cell r="C700" t="str">
            <v>-</v>
          </cell>
          <cell r="E700">
            <v>2.2283006685296099E-5</v>
          </cell>
          <cell r="F700">
            <v>7.6145452591831698E-5</v>
          </cell>
          <cell r="G700">
            <v>2.3987460383813509E-5</v>
          </cell>
          <cell r="H700">
            <v>4.4577261253866442E-4</v>
          </cell>
          <cell r="I700">
            <v>3.245487273921596E-4</v>
          </cell>
        </row>
        <row r="701">
          <cell r="A701" t="str">
            <v>T_B_c-ICEDSL-S1</v>
          </cell>
          <cell r="B701" t="str">
            <v>VAR_fout</v>
          </cell>
          <cell r="C701" t="str">
            <v>CO2_T</v>
          </cell>
          <cell r="D701">
            <v>8.2066964551711603</v>
          </cell>
          <cell r="E701">
            <v>21.241573916276099</v>
          </cell>
          <cell r="F701">
            <v>25.530647195124754</v>
          </cell>
          <cell r="G701">
            <v>4.6936991734862477E-4</v>
          </cell>
          <cell r="H701">
            <v>4.58203045531929E-3</v>
          </cell>
          <cell r="I701">
            <v>3.42856102228531E-3</v>
          </cell>
        </row>
        <row r="702">
          <cell r="A702" t="str">
            <v>T_B_c-ICEDSL-S1</v>
          </cell>
          <cell r="B702" t="str">
            <v>VAR_fout</v>
          </cell>
          <cell r="C702" t="str">
            <v>TPBSc</v>
          </cell>
          <cell r="D702">
            <v>1.3874038097338509E-2</v>
          </cell>
          <cell r="E702">
            <v>3.6690401929996612E-2</v>
          </cell>
          <cell r="F702">
            <v>4.4612566063243431E-2</v>
          </cell>
          <cell r="G702">
            <v>9.3717508383601647E-7</v>
          </cell>
          <cell r="H702">
            <v>9.9192426687311479E-6</v>
          </cell>
          <cell r="I702">
            <v>8.1059536154075151E-6</v>
          </cell>
        </row>
        <row r="703">
          <cell r="A703" t="str">
            <v>T_B_c-ICEDSL-S1</v>
          </cell>
          <cell r="B703" t="str">
            <v>VAR_fin</v>
          </cell>
          <cell r="C703" t="str">
            <v>TDSL</v>
          </cell>
          <cell r="D703">
            <v>0.11196038820151649</v>
          </cell>
          <cell r="E703">
            <v>0.28978954865315371</v>
          </cell>
          <cell r="F703">
            <v>0.34830350880115601</v>
          </cell>
          <cell r="G703">
            <v>6.4034095136238064E-6</v>
          </cell>
          <cell r="H703">
            <v>6.2510647412268648E-5</v>
          </cell>
          <cell r="I703">
            <v>4.6774365924765569E-5</v>
          </cell>
        </row>
        <row r="704">
          <cell r="A704" t="str">
            <v>T_B_c-ICEDSL-S1</v>
          </cell>
          <cell r="B704" t="str">
            <v>VAR_ncap</v>
          </cell>
          <cell r="C704" t="str">
            <v>-</v>
          </cell>
          <cell r="E704">
            <v>4.5053866703345202E-4</v>
          </cell>
          <cell r="F704">
            <v>1.7432709500367401E-4</v>
          </cell>
          <cell r="G704">
            <v>7.08453027479094E-8</v>
          </cell>
          <cell r="H704">
            <v>1.11574637594241E-7</v>
          </cell>
          <cell r="I704">
            <v>1.1808446463958E-7</v>
          </cell>
        </row>
        <row r="705">
          <cell r="A705" t="str">
            <v>T_B_c-ICEDSL-S1</v>
          </cell>
          <cell r="B705" t="str">
            <v>VAR_cap</v>
          </cell>
          <cell r="C705" t="str">
            <v>-</v>
          </cell>
          <cell r="D705">
            <v>3.0577890784882973E-4</v>
          </cell>
          <cell r="E705">
            <v>8.0931700783499713E-4</v>
          </cell>
          <cell r="F705">
            <v>9.8336191594743062E-4</v>
          </cell>
          <cell r="G705">
            <v>1.1394411165196582E-7</v>
          </cell>
          <cell r="H705">
            <v>1.7678027698558299E-7</v>
          </cell>
          <cell r="I705">
            <v>1.85855976917865E-7</v>
          </cell>
        </row>
        <row r="706">
          <cell r="A706" t="str">
            <v>T-Plg-DSL-mix_S4</v>
          </cell>
          <cell r="B706" t="str">
            <v>VAR_fout</v>
          </cell>
          <cell r="C706" t="str">
            <v>CO2_T</v>
          </cell>
          <cell r="D706">
            <v>0.41095409985498199</v>
          </cell>
          <cell r="E706">
            <v>59.184807124534998</v>
          </cell>
          <cell r="F706">
            <v>56.258941295836024</v>
          </cell>
          <cell r="G706">
            <v>5.4350454425178395E-3</v>
          </cell>
          <cell r="H706">
            <v>5.050913748439454</v>
          </cell>
          <cell r="I706">
            <v>1.8434572315507749</v>
          </cell>
        </row>
        <row r="707">
          <cell r="A707" t="str">
            <v>T-Plg-DSL-mix_S4</v>
          </cell>
          <cell r="B707" t="str">
            <v>VAR_fout</v>
          </cell>
          <cell r="C707" t="str">
            <v>T-PEVmix-ELC_DSL_S4</v>
          </cell>
          <cell r="D707">
            <v>2.954600042027182E-3</v>
          </cell>
          <cell r="E707">
            <v>0.42551572956500255</v>
          </cell>
          <cell r="F707">
            <v>0.40447989295091219</v>
          </cell>
          <cell r="G707">
            <v>3.9075861509958235E-5</v>
          </cell>
          <cell r="H707">
            <v>4.0022946453869862E-2</v>
          </cell>
          <cell r="I707">
            <v>1.6088629423593955E-2</v>
          </cell>
        </row>
        <row r="708">
          <cell r="A708" t="str">
            <v>T-Plg-DSL-mix_S4</v>
          </cell>
          <cell r="B708" t="str">
            <v>VAR_fin</v>
          </cell>
          <cell r="C708" t="str">
            <v>TDSL</v>
          </cell>
          <cell r="D708">
            <v>5.6064679379943007E-3</v>
          </cell>
          <cell r="E708">
            <v>0.80743256650115802</v>
          </cell>
          <cell r="F708">
            <v>0.76751625233064147</v>
          </cell>
          <cell r="G708">
            <v>7.4147959652357939E-5</v>
          </cell>
          <cell r="H708">
            <v>6.8907418123321462E-2</v>
          </cell>
          <cell r="I708">
            <v>2.514948474148394E-2</v>
          </cell>
        </row>
        <row r="709">
          <cell r="A709" t="str">
            <v>T_C-FC-H2O-S2</v>
          </cell>
          <cell r="B709" t="str">
            <v>VAR_fout</v>
          </cell>
          <cell r="C709" t="str">
            <v>TPCAR</v>
          </cell>
          <cell r="D709">
            <v>9.8353750372409064E-5</v>
          </cell>
          <cell r="E709">
            <v>2.6706816840116267E-4</v>
          </cell>
          <cell r="F709">
            <v>5.2064919310351114E-4</v>
          </cell>
          <cell r="H709">
            <v>1.7480973014317876E-3</v>
          </cell>
          <cell r="I709">
            <v>2.3603022784080309E-3</v>
          </cell>
        </row>
        <row r="710">
          <cell r="A710" t="str">
            <v>T_C-FC-H2O-S2</v>
          </cell>
          <cell r="B710" t="str">
            <v>VAR_fin</v>
          </cell>
          <cell r="C710" t="str">
            <v>TH2O</v>
          </cell>
          <cell r="D710">
            <v>1.1032448698126434E-4</v>
          </cell>
          <cell r="E710">
            <v>2.9957331119881419E-4</v>
          </cell>
          <cell r="F710">
            <v>5.8401794449993577E-4</v>
          </cell>
          <cell r="H710">
            <v>1.787197933529923E-3</v>
          </cell>
          <cell r="I710">
            <v>2.1615726268320009E-3</v>
          </cell>
        </row>
        <row r="711">
          <cell r="A711" t="str">
            <v>T_C-FC-H2O-S2</v>
          </cell>
          <cell r="B711" t="str">
            <v>VAR_ncap</v>
          </cell>
          <cell r="C711" t="str">
            <v>-</v>
          </cell>
          <cell r="E711">
            <v>1.4595819765019199E-5</v>
          </cell>
          <cell r="F711">
            <v>2.6140973248519601E-5</v>
          </cell>
          <cell r="G711">
            <v>1.23318927784768E-5</v>
          </cell>
          <cell r="H711">
            <v>9.0406030157761801E-5</v>
          </cell>
          <cell r="I711">
            <v>1.80328327907592E-4</v>
          </cell>
        </row>
        <row r="712">
          <cell r="A712" t="str">
            <v>T_C-FC-H2O-S2</v>
          </cell>
          <cell r="B712" t="str">
            <v>VAR_cap</v>
          </cell>
          <cell r="C712" t="str">
            <v>-</v>
          </cell>
          <cell r="D712">
            <v>6.3067269310866765E-6</v>
          </cell>
          <cell r="E712">
            <v>2.0686517052473734E-5</v>
          </cell>
          <cell r="F712">
            <v>4.5647082777700722E-5</v>
          </cell>
          <cell r="G712">
            <v>-5.6680047660150843E-7</v>
          </cell>
          <cell r="H712">
            <v>1.6217781521723427E-4</v>
          </cell>
          <cell r="I712">
            <v>2.1975584790609351E-4</v>
          </cell>
        </row>
        <row r="713">
          <cell r="A713" t="str">
            <v>T_B_c-ICEDSL-S2</v>
          </cell>
          <cell r="B713" t="str">
            <v>VAR_fout</v>
          </cell>
          <cell r="C713" t="str">
            <v>CO2_T</v>
          </cell>
          <cell r="D713">
            <v>37.861634870842501</v>
          </cell>
          <cell r="E713">
            <v>28.551023939113506</v>
          </cell>
          <cell r="F713">
            <v>34.880519106998641</v>
          </cell>
          <cell r="H713">
            <v>7.7956374709316689E-3</v>
          </cell>
          <cell r="I713">
            <v>6.45677229727094E-3</v>
          </cell>
        </row>
        <row r="714">
          <cell r="A714" t="str">
            <v>T_B_c-ICEDSL-S2</v>
          </cell>
          <cell r="B714" t="str">
            <v>VAR_fout</v>
          </cell>
          <cell r="C714" t="str">
            <v>TPBSc</v>
          </cell>
          <cell r="D714">
            <v>4.5178717393661388E-2</v>
          </cell>
          <cell r="E714">
            <v>3.4204775865883712E-2</v>
          </cell>
          <cell r="F714">
            <v>4.1799468010077022E-2</v>
          </cell>
          <cell r="H714">
            <v>1.1715568159255537E-5</v>
          </cell>
          <cell r="I714">
            <v>1.0467598787198868E-5</v>
          </cell>
        </row>
        <row r="715">
          <cell r="A715" t="str">
            <v>T_B_c-ICEDSL-S2</v>
          </cell>
          <cell r="B715" t="str">
            <v>VAR_fin</v>
          </cell>
          <cell r="C715" t="str">
            <v>TDSL</v>
          </cell>
          <cell r="D715">
            <v>0.51652980724205211</v>
          </cell>
          <cell r="E715">
            <v>0.38950919425802905</v>
          </cell>
          <cell r="F715">
            <v>0.47585974225100475</v>
          </cell>
          <cell r="H715">
            <v>1.063524893715099E-4</v>
          </cell>
          <cell r="I715">
            <v>8.8086934478457692E-5</v>
          </cell>
        </row>
        <row r="716">
          <cell r="A716" t="str">
            <v>T_B_c-ICEDSL-S2</v>
          </cell>
          <cell r="B716" t="str">
            <v>VAR_ncap</v>
          </cell>
          <cell r="C716" t="str">
            <v>-</v>
          </cell>
          <cell r="E716">
            <v>6.9183093122884996E-6</v>
          </cell>
          <cell r="F716">
            <v>8.8231014559914505E-6</v>
          </cell>
          <cell r="G716">
            <v>2.63410236151683E-8</v>
          </cell>
          <cell r="H716">
            <v>1.01716250983206E-7</v>
          </cell>
          <cell r="I716">
            <v>1.0663584603925599E-7</v>
          </cell>
        </row>
        <row r="717">
          <cell r="A717" t="str">
            <v>T_B_c-ICEDSL-S2</v>
          </cell>
          <cell r="B717" t="str">
            <v>VAR_cap</v>
          </cell>
          <cell r="C717" t="str">
            <v>-</v>
          </cell>
          <cell r="D717">
            <v>9.8777541062967217E-4</v>
          </cell>
          <cell r="E717">
            <v>9.0362966166235249E-4</v>
          </cell>
          <cell r="F717">
            <v>9.1254155519790588E-4</v>
          </cell>
          <cell r="G717">
            <v>4.0651539108451512E-8</v>
          </cell>
          <cell r="H717">
            <v>1.1322537700351119E-7</v>
          </cell>
          <cell r="I717">
            <v>1.64724255788754E-7</v>
          </cell>
        </row>
        <row r="718">
          <cell r="A718" t="str">
            <v>T_TW-FCLH2O-S1</v>
          </cell>
          <cell r="B718" t="str">
            <v>VAR_fout</v>
          </cell>
          <cell r="C718" t="str">
            <v>TPTWL</v>
          </cell>
          <cell r="H718">
            <v>4.1943209938582584E-3</v>
          </cell>
          <cell r="I718">
            <v>4.7251024981926045E-3</v>
          </cell>
        </row>
        <row r="719">
          <cell r="A719" t="str">
            <v>T_TW-FCLH2O-S1</v>
          </cell>
          <cell r="B719" t="str">
            <v>VAR_fin</v>
          </cell>
          <cell r="C719" t="str">
            <v>TH2O</v>
          </cell>
          <cell r="H719">
            <v>8.8235818036248631E-4</v>
          </cell>
          <cell r="I719">
            <v>9.6785426637597009E-4</v>
          </cell>
        </row>
        <row r="720">
          <cell r="A720" t="str">
            <v>T_TW-FCLH2O-S1</v>
          </cell>
          <cell r="B720" t="str">
            <v>VAR_ncap</v>
          </cell>
          <cell r="C720" t="str">
            <v>-</v>
          </cell>
          <cell r="G720">
            <v>3.4316662101078799E-4</v>
          </cell>
          <cell r="H720">
            <v>1.00344480045495E-3</v>
          </cell>
          <cell r="I720">
            <v>1.2540829342499299E-3</v>
          </cell>
        </row>
        <row r="721">
          <cell r="A721" t="str">
            <v>T_TW-FCLH2O-S1</v>
          </cell>
          <cell r="B721" t="str">
            <v>VAR_cap</v>
          </cell>
          <cell r="C721" t="str">
            <v>-</v>
          </cell>
          <cell r="G721">
            <v>3.4316662101078799E-4</v>
          </cell>
          <cell r="H721">
            <v>1.7135975209068692E-3</v>
          </cell>
          <cell r="I721">
            <v>1.8710022331638037E-3</v>
          </cell>
        </row>
        <row r="722">
          <cell r="A722" t="str">
            <v>D-T-ELC-TW_Bat_S1</v>
          </cell>
          <cell r="B722" t="str">
            <v>VAR_fout</v>
          </cell>
          <cell r="C722" t="str">
            <v>T-ELC-TWSTGin_S1</v>
          </cell>
          <cell r="D722">
            <v>3.9152345508678349E-3</v>
          </cell>
          <cell r="E722">
            <v>2.6982830160322737E-2</v>
          </cell>
          <cell r="F722">
            <v>5.7095517910949717E-2</v>
          </cell>
          <cell r="G722">
            <v>0.17695835590468509</v>
          </cell>
          <cell r="H722">
            <v>9.2833460993020395E-2</v>
          </cell>
          <cell r="I722">
            <v>0.13903439190196254</v>
          </cell>
        </row>
        <row r="723">
          <cell r="A723" t="str">
            <v>D-T-ELC-TW_Bat_S1</v>
          </cell>
          <cell r="B723" t="str">
            <v>VAR_fin</v>
          </cell>
          <cell r="C723" t="str">
            <v>TELC</v>
          </cell>
          <cell r="D723">
            <v>3.9152345508678349E-3</v>
          </cell>
          <cell r="E723">
            <v>2.6982830160322737E-2</v>
          </cell>
          <cell r="F723">
            <v>5.7095517910949717E-2</v>
          </cell>
          <cell r="G723">
            <v>0.17695835590468509</v>
          </cell>
          <cell r="H723">
            <v>9.2833460993020395E-2</v>
          </cell>
          <cell r="I723">
            <v>0.13903439190196254</v>
          </cell>
        </row>
        <row r="724">
          <cell r="A724" t="str">
            <v>D-T-ELC-TW_Bat_S1</v>
          </cell>
          <cell r="B724" t="str">
            <v>VAR_ncap</v>
          </cell>
          <cell r="C724" t="str">
            <v>-</v>
          </cell>
          <cell r="D724">
            <v>1.86925502426029E-3</v>
          </cell>
          <cell r="E724">
            <v>1.2799488087951001E-3</v>
          </cell>
          <cell r="F724">
            <v>2.9479095940174701E-3</v>
          </cell>
          <cell r="G724">
            <v>1.32925685098943E-2</v>
          </cell>
          <cell r="H724">
            <v>4.7270166854062497E-3</v>
          </cell>
          <cell r="I724">
            <v>1.18567800151105E-2</v>
          </cell>
        </row>
        <row r="725">
          <cell r="A725" t="str">
            <v>D-T-ELC-TW_Bat_S1</v>
          </cell>
          <cell r="B725" t="str">
            <v>VAR_cap</v>
          </cell>
          <cell r="C725" t="str">
            <v>-</v>
          </cell>
          <cell r="D725">
            <v>1.86925502426029E-3</v>
          </cell>
          <cell r="E725">
            <v>3.14920383305539E-3</v>
          </cell>
          <cell r="F725">
            <v>6.0971134270728601E-3</v>
          </cell>
          <cell r="G725">
            <v>1.8718567384069702E-2</v>
          </cell>
          <cell r="H725">
            <v>9.8490410285002501E-3</v>
          </cell>
          <cell r="I725">
            <v>1.47130895804634E-2</v>
          </cell>
        </row>
        <row r="726">
          <cell r="A726" t="str">
            <v>T_C-FC-H2O-S3</v>
          </cell>
          <cell r="B726" t="str">
            <v>VAR_fout</v>
          </cell>
          <cell r="C726" t="str">
            <v>TPCAR</v>
          </cell>
          <cell r="D726">
            <v>6.905360074473091E-4</v>
          </cell>
          <cell r="E726">
            <v>1.1461012944286853E-3</v>
          </cell>
          <cell r="F726">
            <v>1.1925240012793229E-3</v>
          </cell>
          <cell r="H726">
            <v>1.5393465122187483E-3</v>
          </cell>
          <cell r="I726">
            <v>3.0561927864171294E-3</v>
          </cell>
        </row>
        <row r="727">
          <cell r="A727" t="str">
            <v>T_C-FC-H2O-S3</v>
          </cell>
          <cell r="B727" t="str">
            <v>VAR_fin</v>
          </cell>
          <cell r="C727" t="str">
            <v>TH2O</v>
          </cell>
          <cell r="D727">
            <v>8.3196600872979527E-4</v>
          </cell>
          <cell r="E727">
            <v>1.3808364940312591E-3</v>
          </cell>
          <cell r="F727">
            <v>1.4367671243190753E-3</v>
          </cell>
          <cell r="H727">
            <v>1.6816847717957195E-3</v>
          </cell>
          <cell r="I727">
            <v>2.9586833814473556E-3</v>
          </cell>
        </row>
        <row r="728">
          <cell r="A728" t="str">
            <v>T_C-FC-H2O-S3</v>
          </cell>
          <cell r="B728" t="str">
            <v>VAR_ncap</v>
          </cell>
          <cell r="C728" t="str">
            <v>-</v>
          </cell>
          <cell r="E728">
            <v>9.6262668585538099E-6</v>
          </cell>
          <cell r="F728">
            <v>1.56810367426506E-5</v>
          </cell>
          <cell r="G728">
            <v>8.3069580853784905E-6</v>
          </cell>
          <cell r="H728">
            <v>7.9829049927807898E-5</v>
          </cell>
          <cell r="I728">
            <v>2.1197694343155801E-4</v>
          </cell>
        </row>
        <row r="729">
          <cell r="A729" t="str">
            <v>T_C-FC-H2O-S3</v>
          </cell>
          <cell r="B729" t="str">
            <v>VAR_cap</v>
          </cell>
          <cell r="C729" t="str">
            <v>-</v>
          </cell>
          <cell r="D729">
            <v>5.3583385819911764E-5</v>
          </cell>
          <cell r="E729">
            <v>8.9237142771621334E-5</v>
          </cell>
          <cell r="F729">
            <v>1.016440232749359E-4</v>
          </cell>
          <cell r="G729">
            <v>-3.0086816661470948E-7</v>
          </cell>
          <cell r="H729">
            <v>1.2818275001701555E-4</v>
          </cell>
          <cell r="I729">
            <v>2.3511731044248977E-4</v>
          </cell>
        </row>
        <row r="730">
          <cell r="A730" t="str">
            <v>T_B_c-ICEDSL-S3</v>
          </cell>
          <cell r="B730" t="str">
            <v>VAR_fout</v>
          </cell>
          <cell r="C730" t="str">
            <v>CO2_T</v>
          </cell>
          <cell r="D730">
            <v>11.259300960669229</v>
          </cell>
          <cell r="E730">
            <v>8.9369526360215055</v>
          </cell>
          <cell r="F730">
            <v>10.814141763529896</v>
          </cell>
          <cell r="G730">
            <v>4.4450828455823497E-5</v>
          </cell>
          <cell r="H730">
            <v>9.6918289998966407E-3</v>
          </cell>
          <cell r="I730">
            <v>7.3375329715198601E-3</v>
          </cell>
        </row>
        <row r="731">
          <cell r="A731" t="str">
            <v>T_B_c-ICEDSL-S3</v>
          </cell>
          <cell r="B731" t="str">
            <v>VAR_fout</v>
          </cell>
          <cell r="C731" t="str">
            <v>TPBSc</v>
          </cell>
          <cell r="D731">
            <v>8.9013803019000574E-3</v>
          </cell>
          <cell r="E731">
            <v>7.0944220801514709E-3</v>
          </cell>
          <cell r="F731">
            <v>8.5911480210227979E-3</v>
          </cell>
          <cell r="G731">
            <v>4.1343145089565904E-8</v>
          </cell>
          <cell r="H731">
            <v>9.8141750090838506E-6</v>
          </cell>
          <cell r="I731">
            <v>8.0572118350141086E-6</v>
          </cell>
        </row>
        <row r="732">
          <cell r="A732" t="str">
            <v>T_B_c-ICEDSL-S3</v>
          </cell>
          <cell r="B732" t="str">
            <v>VAR_fin</v>
          </cell>
          <cell r="C732" t="str">
            <v>TDSL</v>
          </cell>
          <cell r="D732">
            <v>0.15360574298320898</v>
          </cell>
          <cell r="E732">
            <v>0.12192295547096201</v>
          </cell>
          <cell r="F732">
            <v>0.14753262978894807</v>
          </cell>
          <cell r="G732">
            <v>6.0642330771928395E-7</v>
          </cell>
          <cell r="H732">
            <v>1.3222140518276431E-4</v>
          </cell>
          <cell r="I732">
            <v>1.001027690521126E-4</v>
          </cell>
        </row>
        <row r="733">
          <cell r="A733" t="str">
            <v>T_B_c-ICEDSL-S3</v>
          </cell>
          <cell r="B733" t="str">
            <v>VAR_ncap</v>
          </cell>
          <cell r="C733" t="str">
            <v>-</v>
          </cell>
          <cell r="E733">
            <v>2.6361167429303098E-6</v>
          </cell>
          <cell r="F733">
            <v>2.6709484914141499E-6</v>
          </cell>
          <cell r="G733">
            <v>2.9065284170547401E-8</v>
          </cell>
          <cell r="H733">
            <v>1.59845490420818E-7</v>
          </cell>
          <cell r="I733">
            <v>1.50643892713999E-7</v>
          </cell>
        </row>
        <row r="734">
          <cell r="A734" t="str">
            <v>T_B_c-ICEDSL-S3</v>
          </cell>
          <cell r="B734" t="str">
            <v>VAR_cap</v>
          </cell>
          <cell r="C734" t="str">
            <v>-</v>
          </cell>
          <cell r="D734">
            <v>1.9912867567937039E-4</v>
          </cell>
          <cell r="E734">
            <v>1.8607181755123648E-4</v>
          </cell>
          <cell r="F734">
            <v>1.8881821204296177E-4</v>
          </cell>
          <cell r="G734">
            <v>2.7713750879937503E-8</v>
          </cell>
          <cell r="H734">
            <v>2.1937486710160701E-7</v>
          </cell>
          <cell r="I734">
            <v>2.0539436937939901E-7</v>
          </cell>
        </row>
        <row r="735">
          <cell r="A735" t="str">
            <v>T_TW-FCLH2O-S2</v>
          </cell>
          <cell r="B735" t="str">
            <v>VAR_fout</v>
          </cell>
          <cell r="C735" t="str">
            <v>TPTWL</v>
          </cell>
          <cell r="H735">
            <v>1.8624172842673994E-3</v>
          </cell>
          <cell r="I735">
            <v>1.9319482111211045E-3</v>
          </cell>
        </row>
        <row r="736">
          <cell r="A736" t="str">
            <v>T_TW-FCLH2O-S2</v>
          </cell>
          <cell r="B736" t="str">
            <v>VAR_fin</v>
          </cell>
          <cell r="C736" t="str">
            <v>TH2O</v>
          </cell>
          <cell r="H736">
            <v>6.7535437335280025E-4</v>
          </cell>
          <cell r="I736">
            <v>6.8544331960380532E-4</v>
          </cell>
        </row>
        <row r="737">
          <cell r="A737" t="str">
            <v>T_TW-FCLH2O-S2</v>
          </cell>
          <cell r="B737" t="str">
            <v>VAR_ncap</v>
          </cell>
          <cell r="C737" t="str">
            <v>-</v>
          </cell>
          <cell r="G737">
            <v>1.33829527601302E-4</v>
          </cell>
          <cell r="H737">
            <v>3.8565313740809799E-4</v>
          </cell>
          <cell r="I737">
            <v>4.05098517841833E-4</v>
          </cell>
        </row>
        <row r="738">
          <cell r="A738" t="str">
            <v>T_TW-FCLH2O-S2</v>
          </cell>
          <cell r="B738" t="str">
            <v>VAR_cap</v>
          </cell>
          <cell r="C738" t="str">
            <v>-</v>
          </cell>
          <cell r="G738">
            <v>1.33829527601302E-4</v>
          </cell>
          <cell r="H738">
            <v>7.5162400578614738E-4</v>
          </cell>
          <cell r="I738">
            <v>7.582360397390916E-4</v>
          </cell>
        </row>
        <row r="739">
          <cell r="A739" t="str">
            <v>D-T-ELC-TW_Bat_S2</v>
          </cell>
          <cell r="B739" t="str">
            <v>VAR_fout</v>
          </cell>
          <cell r="C739" t="str">
            <v>T-ELC-TWSTGin_S2</v>
          </cell>
          <cell r="D739">
            <v>8.0171498230161887E-4</v>
          </cell>
          <cell r="E739">
            <v>1.4168074948658611E-3</v>
          </cell>
          <cell r="F739">
            <v>1.889328168075264E-3</v>
          </cell>
          <cell r="G739">
            <v>2.0351099157495247E-2</v>
          </cell>
          <cell r="H739">
            <v>1.3631154755719533E-2</v>
          </cell>
          <cell r="I739">
            <v>2.7561823389051353E-2</v>
          </cell>
        </row>
        <row r="740">
          <cell r="A740" t="str">
            <v>D-T-ELC-TW_Bat_S2</v>
          </cell>
          <cell r="B740" t="str">
            <v>VAR_fin</v>
          </cell>
          <cell r="C740" t="str">
            <v>TELC</v>
          </cell>
          <cell r="D740">
            <v>8.0171498230161887E-4</v>
          </cell>
          <cell r="E740">
            <v>1.4168074948658611E-3</v>
          </cell>
          <cell r="F740">
            <v>1.889328168075264E-3</v>
          </cell>
          <cell r="G740">
            <v>2.0351099157495247E-2</v>
          </cell>
          <cell r="H740">
            <v>1.3631154755719533E-2</v>
          </cell>
          <cell r="I740">
            <v>2.7561823389051353E-2</v>
          </cell>
        </row>
        <row r="741">
          <cell r="A741" t="str">
            <v>D-T-ELC-TW_Bat_S2</v>
          </cell>
          <cell r="B741" t="str">
            <v>VAR_ncap</v>
          </cell>
          <cell r="C741" t="str">
            <v>-</v>
          </cell>
          <cell r="D741">
            <v>1.04165175896267E-3</v>
          </cell>
          <cell r="E741">
            <v>7.2387623880156798E-6</v>
          </cell>
          <cell r="F741">
            <v>4.0955699190800001E-4</v>
          </cell>
          <cell r="G741">
            <v>7.2889848940208002E-4</v>
          </cell>
          <cell r="H741">
            <v>1.7745693792264901E-5</v>
          </cell>
          <cell r="I741">
            <v>2.09628624623996E-3</v>
          </cell>
        </row>
        <row r="742">
          <cell r="A742" t="str">
            <v>D-T-ELC-TW_Bat_S2</v>
          </cell>
          <cell r="B742" t="str">
            <v>VAR_cap</v>
          </cell>
          <cell r="C742" t="str">
            <v>-</v>
          </cell>
          <cell r="D742">
            <v>1.04165175896267E-3</v>
          </cell>
          <cell r="E742">
            <v>1.0488905213506801E-3</v>
          </cell>
          <cell r="F742">
            <v>1.45844751325868E-3</v>
          </cell>
          <cell r="G742">
            <v>2.1873460026607598E-3</v>
          </cell>
          <cell r="H742">
            <v>2.8165128757208298E-3</v>
          </cell>
          <cell r="I742">
            <v>2.9370552424793899E-3</v>
          </cell>
        </row>
        <row r="743">
          <cell r="A743" t="str">
            <v>T_C-FC-H2O-S4</v>
          </cell>
          <cell r="B743" t="str">
            <v>VAR_fout</v>
          </cell>
          <cell r="C743" t="str">
            <v>TPCAR</v>
          </cell>
          <cell r="E743">
            <v>2.2199443132890352E-4</v>
          </cell>
          <cell r="F743">
            <v>4.4089179344118824E-4</v>
          </cell>
          <cell r="H743">
            <v>2.0186810959783026E-3</v>
          </cell>
          <cell r="I743">
            <v>0.1578355817838796</v>
          </cell>
        </row>
        <row r="744">
          <cell r="A744" t="str">
            <v>T_C-FC-H2O-S4</v>
          </cell>
          <cell r="B744" t="str">
            <v>VAR_fin</v>
          </cell>
          <cell r="C744" t="str">
            <v>TH2O</v>
          </cell>
          <cell r="E744">
            <v>2.6530467034754105E-4</v>
          </cell>
          <cell r="F744">
            <v>5.2690804547501772E-4</v>
          </cell>
          <cell r="H744">
            <v>2.2012214243975281E-3</v>
          </cell>
          <cell r="I744">
            <v>0.14892215918549928</v>
          </cell>
        </row>
        <row r="745">
          <cell r="A745" t="str">
            <v>T_C-FC-H2O-S4</v>
          </cell>
          <cell r="B745" t="str">
            <v>VAR_ncap</v>
          </cell>
          <cell r="C745" t="str">
            <v>-</v>
          </cell>
          <cell r="E745">
            <v>1.90884297533014E-5</v>
          </cell>
          <cell r="F745">
            <v>2.5139711042558201E-5</v>
          </cell>
          <cell r="G745">
            <v>1.1412102058561501E-5</v>
          </cell>
          <cell r="H745">
            <v>1.21583488969759E-4</v>
          </cell>
          <cell r="I745">
            <v>1.7940154696033401E-2</v>
          </cell>
        </row>
        <row r="746">
          <cell r="A746" t="str">
            <v>T_C-FC-H2O-S4</v>
          </cell>
          <cell r="B746" t="str">
            <v>VAR_cap</v>
          </cell>
          <cell r="C746" t="str">
            <v>-</v>
          </cell>
          <cell r="E746">
            <v>1.88343026072085E-5</v>
          </cell>
          <cell r="F746">
            <v>4.248625646387365E-5</v>
          </cell>
          <cell r="G746">
            <v>-4.2405331187197429E-8</v>
          </cell>
          <cell r="H746">
            <v>1.9826771914017828E-4</v>
          </cell>
          <cell r="I746">
            <v>1.5394890240323256E-2</v>
          </cell>
        </row>
        <row r="747">
          <cell r="A747" t="str">
            <v>T_B_c-ICEDSL-S4</v>
          </cell>
          <cell r="B747" t="str">
            <v>VAR_fout</v>
          </cell>
          <cell r="C747" t="str">
            <v>CO2_T</v>
          </cell>
          <cell r="D747">
            <v>2.0354255309164939</v>
          </cell>
          <cell r="E747">
            <v>0.34684664672331539</v>
          </cell>
          <cell r="F747">
            <v>0.41112668847580147</v>
          </cell>
          <cell r="G747">
            <v>6.57082978667724E-5</v>
          </cell>
          <cell r="H747">
            <v>1.5573552309709981E-2</v>
          </cell>
          <cell r="I747">
            <v>5.7862550483709189E-3</v>
          </cell>
        </row>
        <row r="748">
          <cell r="A748" t="str">
            <v>T_B_c-ICEDSL-S4</v>
          </cell>
          <cell r="B748" t="str">
            <v>VAR_fout</v>
          </cell>
          <cell r="C748" t="str">
            <v>TPBSc</v>
          </cell>
          <cell r="D748">
            <v>1.0731519085554902E-3</v>
          </cell>
          <cell r="E748">
            <v>1.8443258990838399E-4</v>
          </cell>
          <cell r="F748">
            <v>2.2068245923349922E-4</v>
          </cell>
          <cell r="G748">
            <v>4.0845633413132604E-8</v>
          </cell>
          <cell r="H748">
            <v>1.0470495545979278E-5</v>
          </cell>
          <cell r="I748">
            <v>4.2980721338281026E-6</v>
          </cell>
        </row>
        <row r="749">
          <cell r="A749" t="str">
            <v>T_B_c-ICEDSL-S4</v>
          </cell>
          <cell r="B749" t="str">
            <v>VAR_fin</v>
          </cell>
          <cell r="C749" t="str">
            <v>TDSL</v>
          </cell>
          <cell r="D749">
            <v>2.7768424705545653E-2</v>
          </cell>
          <cell r="E749">
            <v>4.731877854342645E-3</v>
          </cell>
          <cell r="F749">
            <v>5.6088224894379566E-3</v>
          </cell>
          <cell r="G749">
            <v>8.9642971168857309E-7</v>
          </cell>
          <cell r="H749">
            <v>2.1246319658540223E-4</v>
          </cell>
          <cell r="I749">
            <v>7.8939359459357636E-5</v>
          </cell>
        </row>
        <row r="750">
          <cell r="A750" t="str">
            <v>T_B_c-ICEDSL-S4</v>
          </cell>
          <cell r="B750" t="str">
            <v>VAR_ncap</v>
          </cell>
          <cell r="C750" t="str">
            <v>-</v>
          </cell>
          <cell r="E750">
            <v>6.52114536624455E-7</v>
          </cell>
          <cell r="F750">
            <v>6.1614877696044497E-7</v>
          </cell>
          <cell r="G750">
            <v>1.31982692377621E-8</v>
          </cell>
          <cell r="H750">
            <v>3.8779296190114197E-8</v>
          </cell>
          <cell r="I750">
            <v>7.0285341740848702E-8</v>
          </cell>
        </row>
        <row r="751">
          <cell r="A751" t="str">
            <v>T_B_c-ICEDSL-S4</v>
          </cell>
          <cell r="B751" t="str">
            <v>VAR_cap</v>
          </cell>
          <cell r="C751" t="str">
            <v>-</v>
          </cell>
          <cell r="D751">
            <v>2.5102988815157302E-5</v>
          </cell>
          <cell r="E751">
            <v>4.7702175761563545E-6</v>
          </cell>
          <cell r="F751">
            <v>5.1888269575488033E-6</v>
          </cell>
          <cell r="G751">
            <v>-6.3964357022194726E-9</v>
          </cell>
          <cell r="H751">
            <v>1.0069172629122999E-8</v>
          </cell>
          <cell r="I751">
            <v>7.7090667546835095E-8</v>
          </cell>
        </row>
        <row r="752">
          <cell r="A752" t="str">
            <v>D-T-ELC-HGV</v>
          </cell>
          <cell r="B752" t="str">
            <v>VAR_fout</v>
          </cell>
          <cell r="C752" t="str">
            <v>T-ELC-HGV_BatSTGin</v>
          </cell>
          <cell r="D752">
            <v>9.5025614534318438E-3</v>
          </cell>
          <cell r="E752">
            <v>2.5211914458075919E-2</v>
          </cell>
          <cell r="F752">
            <v>2.898139249035335E-2</v>
          </cell>
          <cell r="G752">
            <v>0.20792520341166407</v>
          </cell>
          <cell r="H752">
            <v>3.0632795203715348E-2</v>
          </cell>
          <cell r="I752">
            <v>7.5213858790592134</v>
          </cell>
        </row>
        <row r="753">
          <cell r="A753" t="str">
            <v>D-T-ELC-HGV</v>
          </cell>
          <cell r="B753" t="str">
            <v>VAR_fin</v>
          </cell>
          <cell r="C753" t="str">
            <v>TELC</v>
          </cell>
          <cell r="D753">
            <v>9.5025614534318438E-3</v>
          </cell>
          <cell r="E753">
            <v>2.5211914458075919E-2</v>
          </cell>
          <cell r="F753">
            <v>2.898139249035335E-2</v>
          </cell>
          <cell r="G753">
            <v>0.20792520341166407</v>
          </cell>
          <cell r="H753">
            <v>3.0632795203715348E-2</v>
          </cell>
          <cell r="I753">
            <v>7.5213858790592134</v>
          </cell>
        </row>
        <row r="754">
          <cell r="A754" t="str">
            <v>D-T-ELC-HGV</v>
          </cell>
          <cell r="B754" t="str">
            <v>VAR_ncap</v>
          </cell>
          <cell r="C754" t="str">
            <v>-</v>
          </cell>
          <cell r="D754">
            <v>2.2469185880620302E-3</v>
          </cell>
          <cell r="E754">
            <v>2.0019496635957099E-3</v>
          </cell>
          <cell r="F754">
            <v>1.41195296016415E-3</v>
          </cell>
          <cell r="G754">
            <v>2.4401354866294099E-2</v>
          </cell>
          <cell r="H754">
            <v>2.7774428671559601E-3</v>
          </cell>
          <cell r="I754">
            <v>0.93529624984663995</v>
          </cell>
        </row>
        <row r="755">
          <cell r="A755" t="str">
            <v>D-T-ELC-HGV</v>
          </cell>
          <cell r="B755" t="str">
            <v>VAR_cap</v>
          </cell>
          <cell r="C755" t="str">
            <v>-</v>
          </cell>
          <cell r="D755">
            <v>2.2469185880620302E-3</v>
          </cell>
          <cell r="E755">
            <v>4.24886825165774E-3</v>
          </cell>
          <cell r="F755">
            <v>5.6608212118218898E-3</v>
          </cell>
          <cell r="G755">
            <v>2.6387437302124801E-2</v>
          </cell>
          <cell r="H755">
            <v>4.41058676965008E-3</v>
          </cell>
          <cell r="I755">
            <v>0.93578365950786402</v>
          </cell>
        </row>
        <row r="756">
          <cell r="A756" t="str">
            <v>T_TW-FCLH2O-S3</v>
          </cell>
          <cell r="B756" t="str">
            <v>VAR_fout</v>
          </cell>
          <cell r="C756" t="str">
            <v>TPTWL</v>
          </cell>
          <cell r="H756">
            <v>1.0541420638171849E-3</v>
          </cell>
          <cell r="I756">
            <v>1.3294638069741229E-3</v>
          </cell>
        </row>
        <row r="757">
          <cell r="A757" t="str">
            <v>T_TW-FCLH2O-S3</v>
          </cell>
          <cell r="B757" t="str">
            <v>VAR_fin</v>
          </cell>
          <cell r="C757" t="str">
            <v>TH2O</v>
          </cell>
          <cell r="H757">
            <v>5.8781569010274936E-4</v>
          </cell>
          <cell r="I757">
            <v>7.2609188264830535E-4</v>
          </cell>
        </row>
        <row r="758">
          <cell r="A758" t="str">
            <v>T_TW-FCLH2O-S3</v>
          </cell>
          <cell r="B758" t="str">
            <v>VAR_ncap</v>
          </cell>
          <cell r="C758" t="str">
            <v>-</v>
          </cell>
          <cell r="G758">
            <v>1.0327321330505299E-4</v>
          </cell>
          <cell r="H758">
            <v>1.74988827040606E-4</v>
          </cell>
          <cell r="I758">
            <v>2.0850121178287199E-4</v>
          </cell>
        </row>
        <row r="759">
          <cell r="A759" t="str">
            <v>T_TW-FCLH2O-S3</v>
          </cell>
          <cell r="B759" t="str">
            <v>VAR_cap</v>
          </cell>
          <cell r="C759" t="str">
            <v>-</v>
          </cell>
          <cell r="G759">
            <v>1.0327321330505299E-4</v>
          </cell>
          <cell r="H759">
            <v>4.1129211296213368E-4</v>
          </cell>
          <cell r="I759">
            <v>5.1762867707695842E-4</v>
          </cell>
        </row>
        <row r="760">
          <cell r="A760" t="str">
            <v>D-T-ELC-TW_Bat_S3</v>
          </cell>
          <cell r="B760" t="str">
            <v>VAR_fout</v>
          </cell>
          <cell r="C760" t="str">
            <v>T-ELC-TWSTGin_S3</v>
          </cell>
          <cell r="D760">
            <v>4.7531134882788294E-4</v>
          </cell>
          <cell r="E760">
            <v>8.8948273069772697E-4</v>
          </cell>
          <cell r="F760">
            <v>1.1866830081216099E-3</v>
          </cell>
          <cell r="G760">
            <v>2.0390962573532817E-2</v>
          </cell>
          <cell r="H760">
            <v>2.4507564850646743E-2</v>
          </cell>
          <cell r="I760">
            <v>3.964110021265313E-2</v>
          </cell>
        </row>
        <row r="761">
          <cell r="A761" t="str">
            <v>D-T-ELC-TW_Bat_S3</v>
          </cell>
          <cell r="B761" t="str">
            <v>VAR_fin</v>
          </cell>
          <cell r="C761" t="str">
            <v>TELC</v>
          </cell>
          <cell r="D761">
            <v>4.7531134882788294E-4</v>
          </cell>
          <cell r="E761">
            <v>8.8948273069772697E-4</v>
          </cell>
          <cell r="F761">
            <v>1.1866830081216099E-3</v>
          </cell>
          <cell r="G761">
            <v>2.0390962573532817E-2</v>
          </cell>
          <cell r="H761">
            <v>2.4507564850646743E-2</v>
          </cell>
          <cell r="I761">
            <v>3.964110021265313E-2</v>
          </cell>
        </row>
        <row r="762">
          <cell r="A762" t="str">
            <v>D-T-ELC-TW_Bat_S3</v>
          </cell>
          <cell r="B762" t="str">
            <v>VAR_ncap</v>
          </cell>
          <cell r="C762" t="str">
            <v>-</v>
          </cell>
          <cell r="D762">
            <v>1.5360919617113499E-3</v>
          </cell>
          <cell r="E762">
            <v>9.3728642755993908E-6</v>
          </cell>
          <cell r="F762">
            <v>1.50148840549659E-5</v>
          </cell>
          <cell r="G762">
            <v>6.3002352672789205E-4</v>
          </cell>
          <cell r="H762">
            <v>3.5885223745945301E-5</v>
          </cell>
          <cell r="I762">
            <v>1.83868375089194E-3</v>
          </cell>
        </row>
        <row r="763">
          <cell r="A763" t="str">
            <v>D-T-ELC-TW_Bat_S3</v>
          </cell>
          <cell r="B763" t="str">
            <v>VAR_cap</v>
          </cell>
          <cell r="C763" t="str">
            <v>-</v>
          </cell>
          <cell r="D763">
            <v>1.5360919617113499E-3</v>
          </cell>
          <cell r="E763">
            <v>1.54546482598694E-3</v>
          </cell>
          <cell r="F763">
            <v>1.5604797100419101E-3</v>
          </cell>
          <cell r="G763">
            <v>2.1905032367697998E-3</v>
          </cell>
          <cell r="H763">
            <v>3.9573173086176203E-3</v>
          </cell>
          <cell r="I763">
            <v>4.2170286287425999E-3</v>
          </cell>
        </row>
        <row r="764">
          <cell r="A764" t="str">
            <v>T_TW-FCLH2O-S4</v>
          </cell>
          <cell r="B764" t="str">
            <v>VAR_fout</v>
          </cell>
          <cell r="C764" t="str">
            <v>TPTWL</v>
          </cell>
          <cell r="H764">
            <v>6.2302430009829335E-4</v>
          </cell>
          <cell r="I764">
            <v>8.88173820922837E-4</v>
          </cell>
        </row>
        <row r="765">
          <cell r="A765" t="str">
            <v>T_TW-FCLH2O-S4</v>
          </cell>
          <cell r="B765" t="str">
            <v>VAR_fin</v>
          </cell>
          <cell r="C765" t="str">
            <v>TH2O</v>
          </cell>
          <cell r="H765">
            <v>3.9007141046528234E-4</v>
          </cell>
          <cell r="I765">
            <v>5.4573598190986558E-4</v>
          </cell>
        </row>
        <row r="766">
          <cell r="A766" t="str">
            <v>T_TW-FCLH2O-S4</v>
          </cell>
          <cell r="B766" t="str">
            <v>VAR_ncap</v>
          </cell>
          <cell r="C766" t="str">
            <v>-</v>
          </cell>
          <cell r="G766">
            <v>4.94996917388546E-5</v>
          </cell>
          <cell r="H766">
            <v>1.10024016205072E-4</v>
          </cell>
          <cell r="I766">
            <v>1.2214398988803299E-4</v>
          </cell>
        </row>
        <row r="767">
          <cell r="A767" t="str">
            <v>T_TW-FCLH2O-S4</v>
          </cell>
          <cell r="B767" t="str">
            <v>VAR_cap</v>
          </cell>
          <cell r="C767" t="str">
            <v>-</v>
          </cell>
          <cell r="G767">
            <v>4.94996917388546E-5</v>
          </cell>
          <cell r="H767">
            <v>2.3388984157918471E-4</v>
          </cell>
          <cell r="I767">
            <v>3.3975918608008501E-4</v>
          </cell>
        </row>
        <row r="768">
          <cell r="A768" t="str">
            <v>D-T-ELC-TW_Bat_S4</v>
          </cell>
          <cell r="B768" t="str">
            <v>VAR_fout</v>
          </cell>
          <cell r="C768" t="str">
            <v>T-ELC-TWSTGin_S4</v>
          </cell>
          <cell r="D768">
            <v>6.26568149061249E-4</v>
          </cell>
          <cell r="E768">
            <v>1.1144830473100611E-3</v>
          </cell>
          <cell r="F768">
            <v>1.4987212637389933E-3</v>
          </cell>
          <cell r="G768">
            <v>2.0751776207104486E-2</v>
          </cell>
          <cell r="H768">
            <v>2.6547568946721521E-2</v>
          </cell>
          <cell r="I768">
            <v>6.1425717644111907E-2</v>
          </cell>
        </row>
        <row r="769">
          <cell r="A769" t="str">
            <v>D-T-ELC-TW_Bat_S4</v>
          </cell>
          <cell r="B769" t="str">
            <v>VAR_fin</v>
          </cell>
          <cell r="C769" t="str">
            <v>TELC</v>
          </cell>
          <cell r="D769">
            <v>6.26568149061249E-4</v>
          </cell>
          <cell r="E769">
            <v>1.1144830473100611E-3</v>
          </cell>
          <cell r="F769">
            <v>1.4987212637389933E-3</v>
          </cell>
          <cell r="G769">
            <v>2.0751776207104486E-2</v>
          </cell>
          <cell r="H769">
            <v>2.6547568946721521E-2</v>
          </cell>
          <cell r="I769">
            <v>6.1425717644111907E-2</v>
          </cell>
        </row>
        <row r="770">
          <cell r="A770" t="str">
            <v>D-T-ELC-TW_Bat_S4</v>
          </cell>
          <cell r="B770" t="str">
            <v>VAR_ncap</v>
          </cell>
          <cell r="C770" t="str">
            <v>-</v>
          </cell>
          <cell r="D770">
            <v>1.5122941668147E-3</v>
          </cell>
          <cell r="E770">
            <v>9.2816338997198904E-6</v>
          </cell>
          <cell r="F770">
            <v>1.9098217186517901E-5</v>
          </cell>
          <cell r="G770">
            <v>6.9125139951056497E-4</v>
          </cell>
          <cell r="H770">
            <v>1.8391897688518301E-5</v>
          </cell>
          <cell r="I770">
            <v>3.1006576687737501E-3</v>
          </cell>
        </row>
        <row r="771">
          <cell r="A771" t="str">
            <v>D-T-ELC-TW_Bat_S4</v>
          </cell>
          <cell r="B771" t="str">
            <v>VAR_cap</v>
          </cell>
          <cell r="C771" t="str">
            <v>-</v>
          </cell>
          <cell r="D771">
            <v>1.5122941668147E-3</v>
          </cell>
          <cell r="E771">
            <v>1.52157580071442E-3</v>
          </cell>
          <cell r="F771">
            <v>1.54067401790094E-3</v>
          </cell>
          <cell r="G771">
            <v>2.2319254174115E-3</v>
          </cell>
          <cell r="H771">
            <v>5.0543247243215704E-3</v>
          </cell>
          <cell r="I771">
            <v>6.5183663510375101E-3</v>
          </cell>
        </row>
        <row r="772">
          <cell r="A772" t="str">
            <v>T_B_u-ICENGA-S1</v>
          </cell>
          <cell r="B772" t="str">
            <v>VAR_fout</v>
          </cell>
          <cell r="C772" t="str">
            <v>CO2_T</v>
          </cell>
          <cell r="E772">
            <v>0.123661718315457</v>
          </cell>
          <cell r="F772">
            <v>0.28505019845616797</v>
          </cell>
          <cell r="G772">
            <v>2.1528377690689868E-3</v>
          </cell>
          <cell r="H772">
            <v>5.2116981630944848E-3</v>
          </cell>
          <cell r="I772">
            <v>4.4107490418452654E-3</v>
          </cell>
        </row>
        <row r="773">
          <cell r="A773" t="str">
            <v>T_B_u-ICENGA-S1</v>
          </cell>
          <cell r="B773" t="str">
            <v>VAR_fout</v>
          </cell>
          <cell r="C773" t="str">
            <v>TPBSu</v>
          </cell>
          <cell r="E773">
            <v>2.6363082088802812E-4</v>
          </cell>
          <cell r="F773">
            <v>6.2381037216339638E-4</v>
          </cell>
          <cell r="G773">
            <v>5.0940064434684181E-6</v>
          </cell>
          <cell r="H773">
            <v>1.3797192103124276E-5</v>
          </cell>
          <cell r="I773">
            <v>1.2583819144486597E-5</v>
          </cell>
        </row>
        <row r="774">
          <cell r="A774" t="str">
            <v>T_B_u-ICENGA-S1</v>
          </cell>
          <cell r="B774" t="str">
            <v>VAR_fin</v>
          </cell>
          <cell r="C774" t="str">
            <v>TNGA</v>
          </cell>
          <cell r="E774">
            <v>2.1925836580754814E-3</v>
          </cell>
          <cell r="F774">
            <v>5.054081532910773E-3</v>
          </cell>
          <cell r="G774">
            <v>3.8170882430301216E-5</v>
          </cell>
          <cell r="H774">
            <v>9.2405995799547578E-5</v>
          </cell>
          <cell r="I774">
            <v>7.8204770245483577E-5</v>
          </cell>
        </row>
        <row r="775">
          <cell r="A775" t="str">
            <v>T_B_u-ICENGA-S1</v>
          </cell>
          <cell r="B775" t="str">
            <v>VAR_ncap</v>
          </cell>
          <cell r="C775" t="str">
            <v>-</v>
          </cell>
          <cell r="E775">
            <v>6.3741178254185396E-6</v>
          </cell>
          <cell r="F775">
            <v>6.3464310185059103E-6</v>
          </cell>
          <cell r="G775">
            <v>1.4168017638496299E-7</v>
          </cell>
          <cell r="H775">
            <v>1.6588552226721599E-7</v>
          </cell>
          <cell r="I775">
            <v>1.52663752674353E-7</v>
          </cell>
        </row>
        <row r="776">
          <cell r="A776" t="str">
            <v>T_B_u-ICENGA-S1</v>
          </cell>
          <cell r="B776" t="str">
            <v>VAR_cap</v>
          </cell>
          <cell r="C776" t="str">
            <v>-</v>
          </cell>
          <cell r="E776">
            <v>6.3741178254185396E-6</v>
          </cell>
          <cell r="F776">
            <v>1.2708774733318557E-5</v>
          </cell>
          <cell r="G776">
            <v>2.6763297277849988E-7</v>
          </cell>
          <cell r="H776">
            <v>2.8367829474803689E-7</v>
          </cell>
          <cell r="I776">
            <v>2.65934448185582E-7</v>
          </cell>
        </row>
        <row r="777">
          <cell r="A777" t="str">
            <v>T_B_u-ICENGA-S2</v>
          </cell>
          <cell r="B777" t="str">
            <v>VAR_fout</v>
          </cell>
          <cell r="C777" t="str">
            <v>CO2_T</v>
          </cell>
          <cell r="E777">
            <v>8.4555347332539596E-2</v>
          </cell>
          <cell r="F777">
            <v>0.33416762722764204</v>
          </cell>
          <cell r="G777">
            <v>3.1872546223156098E-4</v>
          </cell>
          <cell r="H777">
            <v>6.9113215393175106E-3</v>
          </cell>
          <cell r="I777">
            <v>5.6887382924940902E-3</v>
          </cell>
        </row>
        <row r="778">
          <cell r="A778" t="str">
            <v>T_B_u-ICENGA-S2</v>
          </cell>
          <cell r="B778" t="str">
            <v>VAR_fout</v>
          </cell>
          <cell r="C778" t="str">
            <v>TPBSu</v>
          </cell>
          <cell r="E778">
            <v>1.2742982018671041E-4</v>
          </cell>
          <cell r="F778">
            <v>5.2179631950410475E-4</v>
          </cell>
          <cell r="G778">
            <v>5.2817698434081009E-7</v>
          </cell>
          <cell r="H778">
            <v>1.259061989675303E-5</v>
          </cell>
          <cell r="I778">
            <v>1.1140115723512873E-5</v>
          </cell>
        </row>
        <row r="779">
          <cell r="A779" t="str">
            <v>T_B_u-ICENGA-S2</v>
          </cell>
          <cell r="B779" t="str">
            <v>VAR_fin</v>
          </cell>
          <cell r="C779" t="str">
            <v>TNGA</v>
          </cell>
          <cell r="E779">
            <v>1.499208286037935E-3</v>
          </cell>
          <cell r="F779">
            <v>5.9249579295681193E-3</v>
          </cell>
          <cell r="G779">
            <v>5.6511606778645485E-6</v>
          </cell>
          <cell r="H779">
            <v>1.2254116204463679E-4</v>
          </cell>
          <cell r="I779">
            <v>1.0086415412223575E-4</v>
          </cell>
        </row>
        <row r="780">
          <cell r="A780" t="str">
            <v>T_B_u-ICENGA-S2</v>
          </cell>
          <cell r="B780" t="str">
            <v>VAR_ncap</v>
          </cell>
          <cell r="C780" t="str">
            <v>-</v>
          </cell>
          <cell r="E780">
            <v>3.0240320322913699E-6</v>
          </cell>
          <cell r="F780">
            <v>7.0961871954634102E-6</v>
          </cell>
          <cell r="G780">
            <v>1.00444872227653E-7</v>
          </cell>
          <cell r="H780">
            <v>6.28334991048259E-8</v>
          </cell>
          <cell r="I780">
            <v>6.2193878232075806E-8</v>
          </cell>
        </row>
        <row r="781">
          <cell r="A781" t="str">
            <v>T_B_u-ICENGA-S2</v>
          </cell>
          <cell r="B781" t="str">
            <v>VAR_cap</v>
          </cell>
          <cell r="C781" t="str">
            <v>-</v>
          </cell>
          <cell r="E781">
            <v>3.0240320322913699E-6</v>
          </cell>
          <cell r="F781">
            <v>1.01202192277548E-5</v>
          </cell>
          <cell r="G781">
            <v>2.2758611544154036E-7</v>
          </cell>
          <cell r="H781">
            <v>1.2201448077237109E-7</v>
          </cell>
          <cell r="I781">
            <v>1.0398265075551E-7</v>
          </cell>
        </row>
        <row r="782">
          <cell r="A782" t="str">
            <v>T_B_c-ICEDSLEXT</v>
          </cell>
          <cell r="B782" t="str">
            <v>VAR_fout</v>
          </cell>
          <cell r="C782" t="str">
            <v>CO2_T</v>
          </cell>
          <cell r="D782">
            <v>0.44199611252582599</v>
          </cell>
          <cell r="E782">
            <v>0.44081853331460802</v>
          </cell>
          <cell r="F782">
            <v>0.43579828891474398</v>
          </cell>
        </row>
        <row r="783">
          <cell r="A783" t="str">
            <v>T_B_c-ICEDSLEXT</v>
          </cell>
          <cell r="B783" t="str">
            <v>VAR_fout</v>
          </cell>
          <cell r="C783" t="str">
            <v>TPBSc</v>
          </cell>
          <cell r="D783">
            <v>5.9999613087260061E-2</v>
          </cell>
          <cell r="E783">
            <v>4.7989241454755978E-2</v>
          </cell>
          <cell r="F783">
            <v>2.9869378313281698E-2</v>
          </cell>
        </row>
        <row r="784">
          <cell r="A784" t="str">
            <v>T_B_c-ICEDSLEXT</v>
          </cell>
          <cell r="B784" t="str">
            <v>VAR_fin</v>
          </cell>
          <cell r="C784" t="str">
            <v>TDSL</v>
          </cell>
          <cell r="D784">
            <v>6.0299606074464655E-3</v>
          </cell>
          <cell r="E784">
            <v>6.0138954067477258E-3</v>
          </cell>
          <cell r="F784">
            <v>5.9454063971997855E-3</v>
          </cell>
        </row>
        <row r="785">
          <cell r="A785" t="str">
            <v>T_B_c-ICEDSLEXT</v>
          </cell>
          <cell r="B785" t="str">
            <v>VAR_cap</v>
          </cell>
          <cell r="C785" t="str">
            <v>-</v>
          </cell>
          <cell r="D785">
            <v>1.30332047521267E-3</v>
          </cell>
          <cell r="E785">
            <v>1.04265638017014E-3</v>
          </cell>
          <cell r="F785">
            <v>6.4947070361737679E-4</v>
          </cell>
        </row>
        <row r="786">
          <cell r="A786" t="str">
            <v>T_B_u-ICENGA-S3</v>
          </cell>
          <cell r="B786" t="str">
            <v>VAR_fout</v>
          </cell>
          <cell r="C786" t="str">
            <v>CO2_T</v>
          </cell>
          <cell r="E786">
            <v>9.7760971362813504E-2</v>
          </cell>
          <cell r="F786">
            <v>0.57098832180111103</v>
          </cell>
          <cell r="G786">
            <v>7.3783412519329013E-4</v>
          </cell>
          <cell r="H786">
            <v>1.135087731666996E-2</v>
          </cell>
          <cell r="I786">
            <v>8.6597420139217993E-3</v>
          </cell>
        </row>
        <row r="787">
          <cell r="A787" t="str">
            <v>T_B_u-ICENGA-S3</v>
          </cell>
          <cell r="B787" t="str">
            <v>VAR_fout</v>
          </cell>
          <cell r="C787" t="str">
            <v>TPBSu</v>
          </cell>
          <cell r="E787">
            <v>9.7799336410156896E-5</v>
          </cell>
          <cell r="F787">
            <v>5.947653032767527E-4</v>
          </cell>
          <cell r="G787">
            <v>7.6464432014939459E-7</v>
          </cell>
          <cell r="H787">
            <v>1.3965623534494168E-5</v>
          </cell>
          <cell r="I787">
            <v>1.1524232012665438E-5</v>
          </cell>
        </row>
        <row r="788">
          <cell r="A788" t="str">
            <v>T_B_u-ICENGA-S3</v>
          </cell>
          <cell r="B788" t="str">
            <v>VAR_fin</v>
          </cell>
          <cell r="C788" t="str">
            <v>TNGA</v>
          </cell>
          <cell r="E788">
            <v>1.733350556078254E-3</v>
          </cell>
          <cell r="F788">
            <v>1.0123906414913317E-2</v>
          </cell>
          <cell r="G788">
            <v>1.3082165340306561E-5</v>
          </cell>
          <cell r="H788">
            <v>2.0125669001187877E-4</v>
          </cell>
          <cell r="I788">
            <v>1.5354152506953561E-4</v>
          </cell>
        </row>
        <row r="789">
          <cell r="A789" t="str">
            <v>T_B_u-ICENGA-S3</v>
          </cell>
          <cell r="B789" t="str">
            <v>VAR_ncap</v>
          </cell>
          <cell r="C789" t="str">
            <v>-</v>
          </cell>
          <cell r="E789">
            <v>2.1821906989603998E-6</v>
          </cell>
          <cell r="F789">
            <v>8.9875789258417905E-6</v>
          </cell>
          <cell r="G789">
            <v>2.6278832436776499E-8</v>
          </cell>
          <cell r="H789">
            <v>2.2893931751935801E-8</v>
          </cell>
        </row>
        <row r="790">
          <cell r="A790" t="str">
            <v>T_B_u-ICENGA-S3</v>
          </cell>
          <cell r="B790" t="str">
            <v>VAR_cap</v>
          </cell>
          <cell r="C790" t="str">
            <v>-</v>
          </cell>
          <cell r="E790">
            <v>2.1821906989603998E-6</v>
          </cell>
          <cell r="F790">
            <v>1.11697696248022E-5</v>
          </cell>
          <cell r="G790">
            <v>2.362841320229997E-8</v>
          </cell>
          <cell r="H790">
            <v>-3.1922072364761507E-8</v>
          </cell>
          <cell r="I790">
            <v>7.8416580465529508E-9</v>
          </cell>
        </row>
        <row r="791">
          <cell r="A791" t="str">
            <v>T_B_u-ICENGA-S4</v>
          </cell>
          <cell r="B791" t="str">
            <v>VAR_fout</v>
          </cell>
          <cell r="C791" t="str">
            <v>CO2_T</v>
          </cell>
          <cell r="E791">
            <v>1.4744243862461299E-2</v>
          </cell>
          <cell r="F791">
            <v>4.0112206690538596E-2</v>
          </cell>
          <cell r="H791">
            <v>1.1428049556590679E-2</v>
          </cell>
          <cell r="I791">
            <v>7.5660405689715604E-3</v>
          </cell>
        </row>
        <row r="792">
          <cell r="A792" t="str">
            <v>T_B_u-ICENGA-S4</v>
          </cell>
          <cell r="B792" t="str">
            <v>VAR_fout</v>
          </cell>
          <cell r="C792" t="str">
            <v>TPBSu</v>
          </cell>
          <cell r="E792">
            <v>9.8528037762726007E-6</v>
          </cell>
          <cell r="F792">
            <v>2.7593746233189206E-5</v>
          </cell>
          <cell r="H792">
            <v>9.3993521718634904E-6</v>
          </cell>
          <cell r="I792">
            <v>6.7772448246594813E-6</v>
          </cell>
        </row>
        <row r="793">
          <cell r="A793" t="str">
            <v>T_B_u-ICENGA-S4</v>
          </cell>
          <cell r="B793" t="str">
            <v>VAR_fin</v>
          </cell>
          <cell r="C793" t="str">
            <v>TNGA</v>
          </cell>
          <cell r="E793">
            <v>2.6142276351881808E-4</v>
          </cell>
          <cell r="F793">
            <v>7.1120933848472742E-4</v>
          </cell>
          <cell r="H793">
            <v>2.0262499213813238E-4</v>
          </cell>
          <cell r="I793">
            <v>1.3414965547821914E-4</v>
          </cell>
        </row>
        <row r="794">
          <cell r="A794" t="str">
            <v>T_B_u-ICENGA-S4</v>
          </cell>
          <cell r="B794" t="str">
            <v>VAR_ncap</v>
          </cell>
          <cell r="C794" t="str">
            <v>-</v>
          </cell>
          <cell r="E794">
            <v>1.57881687660504E-7</v>
          </cell>
          <cell r="F794">
            <v>2.3109541249712801E-7</v>
          </cell>
          <cell r="G794">
            <v>4.1034454275307202E-8</v>
          </cell>
          <cell r="H794">
            <v>3.01523642265403E-8</v>
          </cell>
        </row>
        <row r="795">
          <cell r="A795" t="str">
            <v>T_B_u-ICENGA-S4</v>
          </cell>
          <cell r="B795" t="str">
            <v>VAR_cap</v>
          </cell>
          <cell r="C795" t="str">
            <v>-</v>
          </cell>
          <cell r="E795">
            <v>1.57881687660504E-7</v>
          </cell>
          <cell r="F795">
            <v>3.8897710015763198E-7</v>
          </cell>
          <cell r="G795">
            <v>2.4753321358034007E-8</v>
          </cell>
          <cell r="H795">
            <v>-2.0157947656137291E-8</v>
          </cell>
          <cell r="I795">
            <v>3.5132181955799499E-9</v>
          </cell>
        </row>
        <row r="796">
          <cell r="A796"/>
          <cell r="B796"/>
          <cell r="C796"/>
        </row>
        <row r="797">
          <cell r="A797"/>
          <cell r="B797"/>
          <cell r="C797"/>
        </row>
        <row r="798">
          <cell r="A798"/>
          <cell r="B798"/>
          <cell r="C798"/>
        </row>
        <row r="799">
          <cell r="A799"/>
          <cell r="B799"/>
          <cell r="C799"/>
        </row>
        <row r="800">
          <cell r="A800"/>
          <cell r="B800"/>
          <cell r="C800"/>
        </row>
        <row r="801">
          <cell r="A801"/>
          <cell r="B801"/>
          <cell r="C801"/>
        </row>
        <row r="802">
          <cell r="A802"/>
          <cell r="B802"/>
          <cell r="C802"/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/>
      <sheetData sheetId="30">
        <row r="9">
          <cell r="B9">
            <v>18.873346028167052</v>
          </cell>
          <cell r="C9">
            <v>21.785051637397022</v>
          </cell>
          <cell r="D9">
            <v>34.384281527101209</v>
          </cell>
          <cell r="E9">
            <v>62.34562323418362</v>
          </cell>
          <cell r="F9">
            <v>85.61466677152616</v>
          </cell>
          <cell r="G9">
            <v>81.472708105536256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7.3213940634494091E-3</v>
          </cell>
          <cell r="G28">
            <v>9.6199738260660944E-3</v>
          </cell>
        </row>
      </sheetData>
      <sheetData sheetId="31"/>
      <sheetData sheetId="32"/>
      <sheetData sheetId="33">
        <row r="14">
          <cell r="B14">
            <v>82.760006289645816</v>
          </cell>
          <cell r="C14">
            <v>82.755169227982307</v>
          </cell>
          <cell r="D14">
            <v>70.327358172828482</v>
          </cell>
          <cell r="E14">
            <v>69.19699114701082</v>
          </cell>
          <cell r="F14">
            <v>32.820796383167128</v>
          </cell>
          <cell r="G14">
            <v>0</v>
          </cell>
        </row>
        <row r="15">
          <cell r="B15">
            <v>66.745680242457198</v>
          </cell>
          <cell r="C15">
            <v>49.798772798818447</v>
          </cell>
          <cell r="D15">
            <v>68.44373040175482</v>
          </cell>
          <cell r="E15">
            <v>68.180550216121247</v>
          </cell>
          <cell r="F15">
            <v>71.199673773627197</v>
          </cell>
          <cell r="G15">
            <v>70.392364007093917</v>
          </cell>
        </row>
        <row r="16">
          <cell r="B16">
            <v>66.632414534993345</v>
          </cell>
          <cell r="C16">
            <v>55.763997394256521</v>
          </cell>
          <cell r="D16">
            <v>65.64174178742968</v>
          </cell>
          <cell r="E16">
            <v>66.967551450462892</v>
          </cell>
          <cell r="F16">
            <v>64.786803230896652</v>
          </cell>
          <cell r="G16">
            <v>65.594080260553554</v>
          </cell>
        </row>
        <row r="17">
          <cell r="B17">
            <v>12.841936125799627</v>
          </cell>
          <cell r="C17">
            <v>16.053053463145289</v>
          </cell>
          <cell r="D17">
            <v>45.554796901706062</v>
          </cell>
          <cell r="E17">
            <v>12.534168655579458</v>
          </cell>
          <cell r="F17">
            <v>12.886942018177606</v>
          </cell>
          <cell r="G17">
            <v>13.212820767810896</v>
          </cell>
        </row>
        <row r="18">
          <cell r="B18">
            <v>3.9608410843525725E-2</v>
          </cell>
          <cell r="C18">
            <v>1.3921485683043286E-4</v>
          </cell>
          <cell r="D18">
            <v>9.3505894191459552E-3</v>
          </cell>
          <cell r="E18">
            <v>1.4216214410747597E-3</v>
          </cell>
          <cell r="F18">
            <v>2.50214481963484E-3</v>
          </cell>
          <cell r="G18">
            <v>3.7792216910265357E-5</v>
          </cell>
        </row>
        <row r="19">
          <cell r="B19">
            <v>6.5070037091525705</v>
          </cell>
          <cell r="C19">
            <v>7.3027682524000266</v>
          </cell>
          <cell r="D19">
            <v>7.4118294905002715</v>
          </cell>
          <cell r="E19">
            <v>7.5002623967704816</v>
          </cell>
          <cell r="F19">
            <v>8.0736428081890619</v>
          </cell>
          <cell r="G19">
            <v>4.6534334425069401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0.37929872033910644</v>
          </cell>
          <cell r="G20">
            <v>4.4441184798172095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0.28856591731128578</v>
          </cell>
          <cell r="G21">
            <v>1.78249039082762E-2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1.3621683746791645E-4</v>
          </cell>
          <cell r="F22">
            <v>0.10434653297075876</v>
          </cell>
          <cell r="G22">
            <v>2.6842247670479158E-2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1.7740379914640107E-2</v>
          </cell>
          <cell r="G23">
            <v>4.1307602872421114</v>
          </cell>
        </row>
        <row r="24">
          <cell r="B24">
            <v>0.96588833998255996</v>
          </cell>
          <cell r="C24">
            <v>4.3824211558758593E-4</v>
          </cell>
          <cell r="D24">
            <v>1.0007293758609995E-2</v>
          </cell>
          <cell r="E24">
            <v>1.018394490923606E-4</v>
          </cell>
          <cell r="F24">
            <v>3.3356260647469638E-3</v>
          </cell>
          <cell r="G24">
            <v>2.545837522150751E-3</v>
          </cell>
        </row>
        <row r="25">
          <cell r="B25">
            <v>0.42809414414382357</v>
          </cell>
          <cell r="C25">
            <v>8.4449676507685034E-2</v>
          </cell>
          <cell r="D25">
            <v>0.38631788755040025</v>
          </cell>
          <cell r="E25">
            <v>2.7745782215190379E-2</v>
          </cell>
          <cell r="F25">
            <v>1.0936423249314058</v>
          </cell>
          <cell r="G25">
            <v>1.5394160604487588</v>
          </cell>
        </row>
        <row r="26">
          <cell r="B26">
            <v>1.5176375932469601</v>
          </cell>
          <cell r="C26">
            <v>1.4122798487732393</v>
          </cell>
          <cell r="D26">
            <v>1.4275003415542464</v>
          </cell>
          <cell r="E26">
            <v>1.4427854534622324</v>
          </cell>
          <cell r="F26">
            <v>1.268019322586017</v>
          </cell>
          <cell r="G26">
            <v>0.69898858224938931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6.3442460558246108E-2</v>
          </cell>
          <cell r="G27">
            <v>0.71175386267601159</v>
          </cell>
        </row>
        <row r="28">
          <cell r="B28">
            <v>1.8084137352322917E-3</v>
          </cell>
          <cell r="C28">
            <v>8.8291036756263613E-5</v>
          </cell>
          <cell r="D28">
            <v>3.2203973062110243E-3</v>
          </cell>
          <cell r="E28">
            <v>2.5218880109489114E-3</v>
          </cell>
          <cell r="F28">
            <v>7.246811653390528E-4</v>
          </cell>
          <cell r="G28">
            <v>1.0081082329861472E-5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8.890550254674565E-3</v>
          </cell>
          <cell r="G29">
            <v>9.4890766805761067E-3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2.4622556161880134E-3</v>
          </cell>
          <cell r="G30">
            <v>0.2785915585877774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8.0060465436315887E-3</v>
          </cell>
          <cell r="G31">
            <v>0.4839391271702424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>
            <v>0.52400000000000047</v>
          </cell>
          <cell r="C33">
            <v>0.54529215891333116</v>
          </cell>
          <cell r="D33">
            <v>1.053736054748607</v>
          </cell>
          <cell r="E33">
            <v>2.0502647086101042</v>
          </cell>
          <cell r="F33">
            <v>5.0205316414291739</v>
          </cell>
          <cell r="G33">
            <v>6.1200039083223396</v>
          </cell>
        </row>
        <row r="34">
          <cell r="B34">
            <v>0</v>
          </cell>
          <cell r="C34">
            <v>0</v>
          </cell>
          <cell r="D34">
            <v>5.3129421494185695E-2</v>
          </cell>
          <cell r="E34">
            <v>5.8861098474170703E-2</v>
          </cell>
          <cell r="F34">
            <v>2.0843769458723442</v>
          </cell>
          <cell r="G34">
            <v>7.7339653579324867</v>
          </cell>
        </row>
        <row r="35">
          <cell r="B35">
            <v>3.517953999707534</v>
          </cell>
          <cell r="C35">
            <v>4.8498358842776508</v>
          </cell>
          <cell r="D35">
            <v>11.161606387791492</v>
          </cell>
          <cell r="E35">
            <v>12.259650293068507</v>
          </cell>
          <cell r="F35">
            <v>40.833968620879681</v>
          </cell>
          <cell r="G35">
            <v>64.332956945235054</v>
          </cell>
        </row>
        <row r="36">
          <cell r="B36">
            <v>2.1349390887346629</v>
          </cell>
          <cell r="C36">
            <v>3.3906966681339283</v>
          </cell>
          <cell r="D36">
            <v>4.0596118776429702</v>
          </cell>
          <cell r="E36">
            <v>4.3652859142233682</v>
          </cell>
          <cell r="F36">
            <v>1.5725356698252446</v>
          </cell>
          <cell r="G36">
            <v>7.1054248833516742E-2</v>
          </cell>
        </row>
        <row r="37">
          <cell r="B37">
            <v>0.86248322578584768</v>
          </cell>
          <cell r="C37">
            <v>1.2876145147246605</v>
          </cell>
          <cell r="D37">
            <v>3.5608360731495665</v>
          </cell>
          <cell r="E37">
            <v>3.9005191064048668</v>
          </cell>
          <cell r="F37">
            <v>4.3090860811542964</v>
          </cell>
          <cell r="G37">
            <v>4.7604085600527091</v>
          </cell>
        </row>
        <row r="38">
          <cell r="B38">
            <v>2.8396236857719668</v>
          </cell>
          <cell r="C38">
            <v>3.2944551948993634</v>
          </cell>
          <cell r="D38">
            <v>9.9648527147553452</v>
          </cell>
          <cell r="E38">
            <v>10.735813466716973</v>
          </cell>
          <cell r="F38">
            <v>11.860184687220714</v>
          </cell>
          <cell r="G38">
            <v>13.101679566789995</v>
          </cell>
        </row>
        <row r="39">
          <cell r="B39">
            <v>0.67000201811261206</v>
          </cell>
          <cell r="C39">
            <v>9.0647948563014752E-2</v>
          </cell>
          <cell r="D39">
            <v>4.9557839364059761E-2</v>
          </cell>
          <cell r="E39">
            <v>2.3255373020541585E-2</v>
          </cell>
          <cell r="F39">
            <v>2.7833325562331951E-2</v>
          </cell>
          <cell r="G39">
            <v>3.7305962691722497E-2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6.0504984803536315E-3</v>
          </cell>
          <cell r="G40">
            <v>2.1694411098479922E-2</v>
          </cell>
        </row>
        <row r="41">
          <cell r="B41">
            <v>7.0517091340998414E-2</v>
          </cell>
          <cell r="C41">
            <v>0.17130919300035691</v>
          </cell>
          <cell r="D41">
            <v>7.3224899549460733E-3</v>
          </cell>
          <cell r="E41">
            <v>1.5324051208595847E-5</v>
          </cell>
          <cell r="F41">
            <v>0.16842918920540154</v>
          </cell>
          <cell r="G41">
            <v>0.17153526701709715</v>
          </cell>
        </row>
        <row r="42">
          <cell r="B42">
            <v>0.17253024359739391</v>
          </cell>
          <cell r="C42">
            <v>0.52162743834035197</v>
          </cell>
          <cell r="D42">
            <v>1.1391918507745915</v>
          </cell>
          <cell r="E42">
            <v>2.1997515441719355</v>
          </cell>
          <cell r="F42">
            <v>1.1792892649605267</v>
          </cell>
          <cell r="G42">
            <v>0.30986323751596478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2.2026157736302046</v>
          </cell>
          <cell r="G43">
            <v>3.5470966266585848</v>
          </cell>
        </row>
        <row r="44">
          <cell r="B44">
            <v>0.23005357121902872</v>
          </cell>
          <cell r="C44">
            <v>0.23016454846347228</v>
          </cell>
          <cell r="D44">
            <v>0.33671168877001989</v>
          </cell>
          <cell r="E44">
            <v>0.34371117046355926</v>
          </cell>
          <cell r="F44">
            <v>0.63975841915920084</v>
          </cell>
          <cell r="G44">
            <v>5.0317711512707123E-4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1.1258247901738173E-2</v>
          </cell>
          <cell r="G45">
            <v>0.5923411876871979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6.1553830886719764E-3</v>
          </cell>
          <cell r="G46">
            <v>4.9530258686970505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0.27184434820213316</v>
          </cell>
          <cell r="G47">
            <v>8.2602635480700071E-2</v>
          </cell>
        </row>
        <row r="48">
          <cell r="B48">
            <v>3.2425262075854687E-2</v>
          </cell>
          <cell r="C48">
            <v>2.1350392563371408E-3</v>
          </cell>
          <cell r="D48">
            <v>8.3738074697353327E-3</v>
          </cell>
          <cell r="E48">
            <v>1.9713616508919523E-5</v>
          </cell>
          <cell r="F48">
            <v>2.1990631277151944E-2</v>
          </cell>
          <cell r="G48">
            <v>1.989677000416961E-2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2.7892477410129668E-5</v>
          </cell>
          <cell r="F49">
            <v>9.3781626972336586E-3</v>
          </cell>
          <cell r="G49">
            <v>7.9229130178786588E-3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2.3093858919534692E-3</v>
          </cell>
          <cell r="F50">
            <v>1.7908553052840399E-2</v>
          </cell>
          <cell r="G50">
            <v>8.2534582400861124E-3</v>
          </cell>
        </row>
        <row r="51">
          <cell r="B51">
            <v>5.1594132081549338E-2</v>
          </cell>
          <cell r="C51">
            <v>2.5585618966491868E-3</v>
          </cell>
          <cell r="D51">
            <v>2.9891214934208356E-2</v>
          </cell>
          <cell r="E51">
            <v>2.05837383877522E-5</v>
          </cell>
          <cell r="F51">
            <v>0.88056734550327853</v>
          </cell>
          <cell r="G51">
            <v>0.62416576435201354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2.6470163310429303E-5</v>
          </cell>
          <cell r="F52">
            <v>0.11181318318629538</v>
          </cell>
          <cell r="G52">
            <v>0.10701929218669287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3.8454606313709739E-3</v>
          </cell>
          <cell r="F53">
            <v>4.5925614439231127E-2</v>
          </cell>
          <cell r="G53">
            <v>2.0999236111747616E-2</v>
          </cell>
        </row>
        <row r="54">
          <cell r="B54">
            <v>0.95937694005854024</v>
          </cell>
          <cell r="C54">
            <v>1.1059730139465545</v>
          </cell>
          <cell r="D54">
            <v>1.1059707892769557</v>
          </cell>
          <cell r="E54">
            <v>1.1059691131813003</v>
          </cell>
          <cell r="F54">
            <v>1.8318693706389726</v>
          </cell>
          <cell r="G54">
            <v>1.8319091411887869</v>
          </cell>
        </row>
        <row r="55">
          <cell r="B55">
            <v>0.59443802389321243</v>
          </cell>
          <cell r="C55">
            <v>0.62595695409197749</v>
          </cell>
          <cell r="D55">
            <v>2.5371443853519277E-2</v>
          </cell>
          <cell r="E55">
            <v>8.2229131982260463E-6</v>
          </cell>
          <cell r="F55">
            <v>2.9269233076854606</v>
          </cell>
          <cell r="G55">
            <v>2.9199764193171504E-3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5.9951465929474802E-4</v>
          </cell>
          <cell r="F56">
            <v>2.1477311390011557E-2</v>
          </cell>
          <cell r="G56">
            <v>3.778785611714605E-3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1.8483501743361366E-3</v>
          </cell>
          <cell r="F57">
            <v>4.6059032579968294E-3</v>
          </cell>
          <cell r="G57">
            <v>3.1906358006612387E-2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3.3861414740063988E-5</v>
          </cell>
          <cell r="F58">
            <v>8.3097423254034714E-2</v>
          </cell>
          <cell r="G58">
            <v>3.4350524548793004E-2</v>
          </cell>
        </row>
        <row r="70">
          <cell r="B70">
            <v>9.5887953797421849E-2</v>
          </cell>
          <cell r="C70">
            <v>3.2116964386312473E-2</v>
          </cell>
          <cell r="D70">
            <v>9.4381266806551123E-2</v>
          </cell>
          <cell r="E70">
            <v>3.8801134348479194E-4</v>
          </cell>
          <cell r="F70">
            <v>1.6233071021883039E-2</v>
          </cell>
          <cell r="G70">
            <v>2.2651254038046638E-2</v>
          </cell>
        </row>
        <row r="71">
          <cell r="B71">
            <v>3.7206558911543973E-2</v>
          </cell>
          <cell r="C71">
            <v>3.2840883030000878E-2</v>
          </cell>
          <cell r="D71">
            <v>3.7213135391045676E-2</v>
          </cell>
          <cell r="E71">
            <v>4.2294509329925522E-3</v>
          </cell>
          <cell r="F71">
            <v>4.1832443088001693E-2</v>
          </cell>
          <cell r="G71">
            <v>0.27616780198838203</v>
          </cell>
        </row>
        <row r="72">
          <cell r="B72">
            <v>3.3894676791469097E-2</v>
          </cell>
          <cell r="C72">
            <v>2.8914932584396744E-2</v>
          </cell>
          <cell r="D72">
            <v>3.4058131089532644E-2</v>
          </cell>
          <cell r="E72">
            <v>5.5136418556985863E-3</v>
          </cell>
          <cell r="F72">
            <v>4.6831105219334243E-2</v>
          </cell>
          <cell r="G72">
            <v>0.13473962127293104</v>
          </cell>
        </row>
        <row r="73">
          <cell r="B73">
            <v>1.0780908172865453E-2</v>
          </cell>
          <cell r="C73">
            <v>1.0722898046351981E-2</v>
          </cell>
          <cell r="D73">
            <v>1.0853586839571359E-2</v>
          </cell>
          <cell r="E73">
            <v>5.9379508779026481E-3</v>
          </cell>
          <cell r="F73">
            <v>7.2629858016045143E-2</v>
          </cell>
          <cell r="G73">
            <v>9.557952302520939E-2</v>
          </cell>
        </row>
        <row r="74">
          <cell r="B74">
            <v>2.1505989376031834E-2</v>
          </cell>
          <cell r="C74">
            <v>2.1388575623445844E-2</v>
          </cell>
          <cell r="D74">
            <v>2.1683877228805853E-2</v>
          </cell>
          <cell r="E74">
            <v>7.4299742347440148E-3</v>
          </cell>
          <cell r="F74">
            <v>8.4583599083113942E-2</v>
          </cell>
          <cell r="G74">
            <v>9.295422930262548E-2</v>
          </cell>
        </row>
        <row r="75">
          <cell r="B75">
            <v>2.1502163801936064E-2</v>
          </cell>
          <cell r="C75">
            <v>2.1384529293853056E-2</v>
          </cell>
          <cell r="D75">
            <v>2.1678982931162716E-2</v>
          </cell>
          <cell r="E75">
            <v>7.4216858480314982E-3</v>
          </cell>
          <cell r="F75">
            <v>8.5840695650490198E-2</v>
          </cell>
          <cell r="G75">
            <v>9.2994211947933572E-2</v>
          </cell>
        </row>
        <row r="76">
          <cell r="B76">
            <v>1.0815148391994886E-2</v>
          </cell>
          <cell r="C76">
            <v>1.0756083187917733E-2</v>
          </cell>
          <cell r="D76">
            <v>1.0884035538563619E-2</v>
          </cell>
          <cell r="E76">
            <v>5.8973571570983966E-3</v>
          </cell>
          <cell r="F76">
            <v>6.1328218600775086E-2</v>
          </cell>
          <cell r="G76">
            <v>5.860698080909784E-2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6.2231849539319921E-3</v>
          </cell>
          <cell r="G90">
            <v>8.176977752156183E-3</v>
          </cell>
        </row>
        <row r="91">
          <cell r="B91">
            <v>1.8035653931592552</v>
          </cell>
          <cell r="C91">
            <v>8.4210631321716316E-4</v>
          </cell>
          <cell r="D91">
            <v>2.0044572145070924E-2</v>
          </cell>
          <cell r="E91">
            <v>2.1780726801066621E-4</v>
          </cell>
          <cell r="F91">
            <v>7.0572997492610165E-3</v>
          </cell>
          <cell r="G91">
            <v>5.3290154968414312E-3</v>
          </cell>
        </row>
        <row r="92">
          <cell r="B92">
            <v>1.3323541656709306</v>
          </cell>
          <cell r="C92">
            <v>0.48137126210004921</v>
          </cell>
          <cell r="D92">
            <v>1.0413503799608066</v>
          </cell>
          <cell r="E92">
            <v>8.2704402534839586E-2</v>
          </cell>
          <cell r="F92">
            <v>3.9660031667610873</v>
          </cell>
          <cell r="G92">
            <v>4.9299890674087337</v>
          </cell>
        </row>
        <row r="93">
          <cell r="B93">
            <v>14.159824818053398</v>
          </cell>
          <cell r="C93">
            <v>13.051659009400407</v>
          </cell>
          <cell r="D93">
            <v>13.178297246973345</v>
          </cell>
          <cell r="E93">
            <v>12.920152287764159</v>
          </cell>
          <cell r="F93">
            <v>11.055659971577182</v>
          </cell>
          <cell r="G93">
            <v>10.757734657284363</v>
          </cell>
        </row>
        <row r="94">
          <cell r="B94">
            <v>9.3004134954803499E-3</v>
          </cell>
          <cell r="C94">
            <v>4.5406818903221275E-4</v>
          </cell>
          <cell r="D94">
            <v>1.6562043289085254E-2</v>
          </cell>
          <cell r="E94">
            <v>1.2969709770594385E-2</v>
          </cell>
          <cell r="F94">
            <v>3.7269317074579856E-3</v>
          </cell>
          <cell r="G94">
            <v>5.1845566267859008E-5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1.1335451574710081E-2</v>
          </cell>
          <cell r="G95">
            <v>1.2573026601763354E-2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2.9898818196568604E-3</v>
          </cell>
          <cell r="G96">
            <v>0.35155601440838546</v>
          </cell>
        </row>
        <row r="97">
          <cell r="B97">
            <v>1.7329366798791874</v>
          </cell>
          <cell r="C97">
            <v>1.1023460860116394</v>
          </cell>
          <cell r="D97">
            <v>1.1175770030504322</v>
          </cell>
          <cell r="E97">
            <v>1.7543856143318266E-5</v>
          </cell>
          <cell r="F97">
            <v>7.0703595632890133E-4</v>
          </cell>
          <cell r="G97">
            <v>7.5755641550875907E-4</v>
          </cell>
        </row>
        <row r="98">
          <cell r="B98">
            <v>0.90178194487958918</v>
          </cell>
          <cell r="C98">
            <v>3.1353837299395462</v>
          </cell>
          <cell r="D98">
            <v>3.2657564090636826</v>
          </cell>
          <cell r="E98">
            <v>7.4449004860805611E-5</v>
          </cell>
          <cell r="F98">
            <v>7.9473615331753469E-2</v>
          </cell>
          <cell r="G98">
            <v>1.7969492958085389</v>
          </cell>
        </row>
        <row r="99">
          <cell r="B99">
            <v>1.4500335445665617</v>
          </cell>
          <cell r="C99">
            <v>3.8009267940464406</v>
          </cell>
          <cell r="D99">
            <v>3.7972475666171479</v>
          </cell>
          <cell r="E99">
            <v>0.97504718505520127</v>
          </cell>
          <cell r="F99">
            <v>0</v>
          </cell>
          <cell r="G99">
            <v>0</v>
          </cell>
        </row>
        <row r="100">
          <cell r="B100">
            <v>0.18409700225770048</v>
          </cell>
          <cell r="C100">
            <v>0.18581072702836712</v>
          </cell>
          <cell r="D100">
            <v>4.6408135699812593E-2</v>
          </cell>
          <cell r="E100">
            <v>4.4642391534964791E-2</v>
          </cell>
          <cell r="F100">
            <v>3.9726488457919812E-4</v>
          </cell>
          <cell r="G100">
            <v>5.8448284503781723E-6</v>
          </cell>
        </row>
        <row r="101">
          <cell r="B101">
            <v>1.4842951364783934</v>
          </cell>
          <cell r="C101">
            <v>1.3395696485577631</v>
          </cell>
          <cell r="D101">
            <v>1.1485149577645011</v>
          </cell>
          <cell r="E101">
            <v>0.88869691256860672</v>
          </cell>
          <cell r="F101">
            <v>0.53211019329176312</v>
          </cell>
          <cell r="G101">
            <v>0.3185981470440663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F103">
            <v>3.8377093466103046E-2</v>
          </cell>
          <cell r="G103">
            <v>6.5210939452329142E-2</v>
          </cell>
        </row>
        <row r="104">
          <cell r="B104">
            <v>0.92954347676770799</v>
          </cell>
          <cell r="C104">
            <v>2.0703244223048678</v>
          </cell>
          <cell r="D104">
            <v>7.6450775834111126E-2</v>
          </cell>
          <cell r="E104">
            <v>1.1798399353600948E-4</v>
          </cell>
          <cell r="F104">
            <v>0.3733603460998865</v>
          </cell>
          <cell r="G104">
            <v>0.38024565079237488</v>
          </cell>
        </row>
        <row r="105">
          <cell r="B105">
            <v>0.65982954085029144</v>
          </cell>
          <cell r="C105">
            <v>1.8166299084145672</v>
          </cell>
          <cell r="D105">
            <v>3.3832932164389846</v>
          </cell>
          <cell r="E105">
            <v>4.6533205742098618</v>
          </cell>
          <cell r="F105">
            <v>7.1540298893265675</v>
          </cell>
          <cell r="G105">
            <v>8.1589535588308006</v>
          </cell>
        </row>
        <row r="106">
          <cell r="B106">
            <v>1.9348936756277308</v>
          </cell>
          <cell r="C106">
            <v>1.8588235968663129</v>
          </cell>
          <cell r="D106">
            <v>2.5503305591876173</v>
          </cell>
          <cell r="E106">
            <v>2.3158676321157317</v>
          </cell>
          <cell r="F106">
            <v>3.2974247645746351</v>
          </cell>
          <cell r="G106">
            <v>2.0110746923394887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0.12220525744866539</v>
          </cell>
          <cell r="G107">
            <v>3.3330888000984271E-2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3.6932298532031853E-3</v>
          </cell>
          <cell r="G108">
            <v>2.4765129343485262</v>
          </cell>
        </row>
        <row r="109">
          <cell r="B109">
            <v>0.14489342260627763</v>
          </cell>
          <cell r="C109">
            <v>7.2292286625298928E-3</v>
          </cell>
          <cell r="D109">
            <v>3.8192470743550797E-2</v>
          </cell>
          <cell r="E109">
            <v>8.2072203356401265E-4</v>
          </cell>
          <cell r="F109">
            <v>0.14911501169520838</v>
          </cell>
          <cell r="G109">
            <v>7.8174534176977908E-2</v>
          </cell>
        </row>
        <row r="110">
          <cell r="B110">
            <v>1.0081871083285688E-3</v>
          </cell>
          <cell r="C110">
            <v>1.1817061987209163E-3</v>
          </cell>
          <cell r="D110">
            <v>5.1805175922290672E-4</v>
          </cell>
          <cell r="E110">
            <v>7.0892398081250276E-3</v>
          </cell>
          <cell r="F110">
            <v>0.12037618307308676</v>
          </cell>
          <cell r="G110">
            <v>4.2497844422349815E-2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0.2435426779444218</v>
          </cell>
          <cell r="C112">
            <v>7.4625434418985181E-3</v>
          </cell>
          <cell r="D112">
            <v>9.2504418041182049E-2</v>
          </cell>
          <cell r="E112">
            <v>8.1626845479595761E-4</v>
          </cell>
          <cell r="F112">
            <v>2.1258627221386801</v>
          </cell>
          <cell r="G112">
            <v>1.3772197426278212</v>
          </cell>
        </row>
        <row r="113">
          <cell r="B113">
            <v>1.1353293044716714E-3</v>
          </cell>
          <cell r="C113">
            <v>1.1810964211811637E-3</v>
          </cell>
          <cell r="D113">
            <v>5.1953474460474536E-4</v>
          </cell>
          <cell r="E113">
            <v>1.1094814856372391E-2</v>
          </cell>
          <cell r="F113">
            <v>0.22389958005219532</v>
          </cell>
          <cell r="G113">
            <v>8.2308458157541314E-2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1.4243266744270981</v>
          </cell>
          <cell r="C115">
            <v>1.5783656540041517</v>
          </cell>
          <cell r="D115">
            <v>1.4829581678784831</v>
          </cell>
          <cell r="E115">
            <v>1.3239489760408005</v>
          </cell>
          <cell r="F115">
            <v>1.666178244163002</v>
          </cell>
          <cell r="G115">
            <v>1.6662144174982436</v>
          </cell>
        </row>
        <row r="116">
          <cell r="B116">
            <v>0.69262303958150817</v>
          </cell>
          <cell r="C116">
            <v>0.75030677996526129</v>
          </cell>
          <cell r="D116">
            <v>3.168587938283051E-2</v>
          </cell>
          <cell r="E116">
            <v>1.1224962086698143E-5</v>
          </cell>
          <cell r="F116">
            <v>4.3903849615281878</v>
          </cell>
          <cell r="G116">
            <v>4.3802377611356341E-3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9.5812539362383578E-4</v>
          </cell>
          <cell r="F117">
            <v>3.2845666623165182E-2</v>
          </cell>
          <cell r="G117">
            <v>5.549509657598109E-3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1.0158424422019194E-5</v>
          </cell>
          <cell r="F118">
            <v>2.4520551124141421E-2</v>
          </cell>
          <cell r="G118">
            <v>9.9727329335205298E-3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1.3910769265010232E-3</v>
          </cell>
          <cell r="F119">
            <v>2.9000131624424465E-3</v>
          </cell>
          <cell r="G119">
            <v>1.8034028438520051E-2</v>
          </cell>
        </row>
        <row r="123">
          <cell r="B123">
            <v>0</v>
          </cell>
          <cell r="C123">
            <v>2.448400715055175</v>
          </cell>
          <cell r="D123">
            <v>2.5226547697492161</v>
          </cell>
          <cell r="E123">
            <v>9.8718028061881586</v>
          </cell>
          <cell r="F123">
            <v>10.904617128321924</v>
          </cell>
          <cell r="G123">
            <v>12.045489832053024</v>
          </cell>
        </row>
      </sheetData>
      <sheetData sheetId="34">
        <row r="13">
          <cell r="B13">
            <v>16.052420507828163</v>
          </cell>
          <cell r="C13">
            <v>20.066324470920176</v>
          </cell>
          <cell r="D13">
            <v>56.943505095581159</v>
          </cell>
          <cell r="E13">
            <v>15.667704158540502</v>
          </cell>
          <cell r="F13">
            <v>16.108662406902116</v>
          </cell>
          <cell r="G13">
            <v>16.516013119910554</v>
          </cell>
        </row>
        <row r="14">
          <cell r="B14">
            <v>250.94822229156796</v>
          </cell>
          <cell r="C14">
            <v>253.28453315786527</v>
          </cell>
          <cell r="D14">
            <v>215.81449200800131</v>
          </cell>
          <cell r="E14">
            <v>209.5845523305552</v>
          </cell>
          <cell r="F14">
            <v>98.945488502927219</v>
          </cell>
          <cell r="G14">
            <v>0</v>
          </cell>
        </row>
        <row r="15">
          <cell r="B15">
            <v>66.745680242457198</v>
          </cell>
          <cell r="C15">
            <v>49.798772798818447</v>
          </cell>
          <cell r="D15">
            <v>68.44373040175482</v>
          </cell>
          <cell r="E15">
            <v>68.180550216121247</v>
          </cell>
          <cell r="F15">
            <v>71.199673773627197</v>
          </cell>
          <cell r="G15">
            <v>70.392364007093917</v>
          </cell>
        </row>
        <row r="16">
          <cell r="B16">
            <v>66.632414534993345</v>
          </cell>
          <cell r="C16">
            <v>55.763997394256521</v>
          </cell>
          <cell r="D16">
            <v>65.64174178742968</v>
          </cell>
          <cell r="E16">
            <v>66.967551450462892</v>
          </cell>
          <cell r="F16">
            <v>64.786803230896652</v>
          </cell>
          <cell r="G16">
            <v>65.594080260553554</v>
          </cell>
        </row>
        <row r="18">
          <cell r="B18">
            <v>0.183290522421727</v>
          </cell>
          <cell r="C18">
            <v>5.3984736301980153E-3</v>
          </cell>
          <cell r="D18">
            <v>3.3341983825441429E-2</v>
          </cell>
          <cell r="E18">
            <v>4.5494909434250991E-3</v>
          </cell>
          <cell r="F18">
            <v>8.4241060408363246E-3</v>
          </cell>
          <cell r="G18">
            <v>1.2719377979961296E-4</v>
          </cell>
        </row>
        <row r="19">
          <cell r="B19">
            <v>18.203600855163153</v>
          </cell>
          <cell r="C19">
            <v>20.429783714040656</v>
          </cell>
          <cell r="D19">
            <v>20.734886851503806</v>
          </cell>
          <cell r="E19">
            <v>20.982281412834805</v>
          </cell>
          <cell r="F19">
            <v>22.586335846206609</v>
          </cell>
          <cell r="G19">
            <v>13.018164546965663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1.1332214190593859</v>
          </cell>
          <cell r="G20">
            <v>13.017238258738388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0.46545253984539409</v>
          </cell>
          <cell r="G21">
            <v>3.0816399237645949E-2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3.8709327451966327E-4</v>
          </cell>
          <cell r="F22">
            <v>0.26307459456481253</v>
          </cell>
          <cell r="G22">
            <v>6.641754170844022E-2</v>
          </cell>
          <cell r="L22">
            <v>2.7759132570369083</v>
          </cell>
          <cell r="M22">
            <v>0.90911997405981759</v>
          </cell>
          <cell r="N22">
            <v>0.43754830089590013</v>
          </cell>
          <cell r="O22">
            <v>1.8340521447207058E-2</v>
          </cell>
          <cell r="P22">
            <v>3.1909994577341489</v>
          </cell>
          <cell r="Q22">
            <v>0.6885849526534028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3.5424214755865262E-2</v>
          </cell>
          <cell r="G23">
            <v>7.5365258755201534</v>
          </cell>
          <cell r="L23">
            <v>7.3808022981371291E-2</v>
          </cell>
          <cell r="M23">
            <v>1.2172572822352429E-2</v>
          </cell>
          <cell r="N23">
            <v>7.5728060884606346E-2</v>
          </cell>
          <cell r="O23">
            <v>1.7499431548374028E-5</v>
          </cell>
          <cell r="P23">
            <v>0.40309777036464201</v>
          </cell>
          <cell r="Q23">
            <v>2.1688223158684434</v>
          </cell>
        </row>
        <row r="24">
          <cell r="B24">
            <v>3.8568293399799147</v>
          </cell>
          <cell r="C24">
            <v>4.1332396601169701E-3</v>
          </cell>
          <cell r="D24">
            <v>4.9042537483847681E-2</v>
          </cell>
          <cell r="E24">
            <v>5.9421834523659157E-4</v>
          </cell>
          <cell r="F24">
            <v>1.5691608482358788E-2</v>
          </cell>
          <cell r="G24">
            <v>1.1689630594769716E-2</v>
          </cell>
        </row>
        <row r="25">
          <cell r="B25">
            <v>1.7559521877624202</v>
          </cell>
          <cell r="C25">
            <v>0.32088330768089118</v>
          </cell>
          <cell r="D25">
            <v>1.4941213782456411</v>
          </cell>
          <cell r="E25">
            <v>5.2543648665665512E-3</v>
          </cell>
          <cell r="F25">
            <v>3.5230356418074313</v>
          </cell>
          <cell r="G25">
            <v>4.9474349400641771</v>
          </cell>
        </row>
        <row r="26">
          <cell r="B26">
            <v>39.679266297026899</v>
          </cell>
          <cell r="C26">
            <v>37.439742512541571</v>
          </cell>
          <cell r="D26">
            <v>37.494367113045506</v>
          </cell>
          <cell r="E26">
            <v>39.750500345393995</v>
          </cell>
          <cell r="F26">
            <v>36.970985909222584</v>
          </cell>
          <cell r="G26">
            <v>27.62557033855963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1.3150645269050207</v>
          </cell>
          <cell r="G27">
            <v>13.180627086592793</v>
          </cell>
        </row>
        <row r="28">
          <cell r="B28">
            <v>7.9443526903424697E-2</v>
          </cell>
          <cell r="C28">
            <v>5.8677501378669554E-3</v>
          </cell>
          <cell r="D28">
            <v>3.4424703029762395E-2</v>
          </cell>
          <cell r="E28">
            <v>2.1924702767100727E-2</v>
          </cell>
          <cell r="F28">
            <v>7.5170994227752534E-3</v>
          </cell>
          <cell r="G28">
            <v>1.0225501074582876E-4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2.2226375636686432E-2</v>
          </cell>
          <cell r="G29">
            <v>2.372269170144025E-2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5.8625133718762197E-3</v>
          </cell>
          <cell r="G30">
            <v>0.66331323473280379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5.4734783309603033E-2</v>
          </cell>
          <cell r="G31">
            <v>1.8766005257108296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>
            <v>0.52400000000000047</v>
          </cell>
          <cell r="C33">
            <v>0.54529215891333116</v>
          </cell>
          <cell r="D33">
            <v>1.053736054748607</v>
          </cell>
          <cell r="E33">
            <v>2.0502647086101042</v>
          </cell>
          <cell r="F33">
            <v>5.0205316414291739</v>
          </cell>
          <cell r="G33">
            <v>6.1200039083223396</v>
          </cell>
        </row>
        <row r="34">
          <cell r="B34">
            <v>0</v>
          </cell>
          <cell r="C34">
            <v>0</v>
          </cell>
          <cell r="D34">
            <v>5.3129421494185695E-2</v>
          </cell>
          <cell r="E34">
            <v>5.8861098474170703E-2</v>
          </cell>
          <cell r="F34">
            <v>2.0843769458723442</v>
          </cell>
          <cell r="G34">
            <v>7.7339653579324867</v>
          </cell>
        </row>
        <row r="35">
          <cell r="B35">
            <v>3.517953999707534</v>
          </cell>
          <cell r="C35">
            <v>4.8498358842776508</v>
          </cell>
          <cell r="D35">
            <v>11.161606387791492</v>
          </cell>
          <cell r="E35">
            <v>12.259650293068507</v>
          </cell>
          <cell r="F35">
            <v>40.833968620879681</v>
          </cell>
          <cell r="G35">
            <v>64.332956945235054</v>
          </cell>
        </row>
        <row r="36">
          <cell r="B36">
            <v>2.1349390887346629</v>
          </cell>
          <cell r="C36">
            <v>3.3906966681339283</v>
          </cell>
          <cell r="D36">
            <v>4.0596118776429702</v>
          </cell>
          <cell r="E36">
            <v>4.3652859142233682</v>
          </cell>
          <cell r="F36">
            <v>1.5725356698252446</v>
          </cell>
          <cell r="G36">
            <v>7.1054248833516742E-2</v>
          </cell>
        </row>
        <row r="37">
          <cell r="B37">
            <v>0.86248322578584768</v>
          </cell>
          <cell r="C37">
            <v>1.2876145147246605</v>
          </cell>
          <cell r="D37">
            <v>3.5608360731495665</v>
          </cell>
          <cell r="E37">
            <v>3.9005191064048668</v>
          </cell>
          <cell r="F37">
            <v>4.3090860811542964</v>
          </cell>
          <cell r="G37">
            <v>4.7604085600527091</v>
          </cell>
        </row>
        <row r="38">
          <cell r="B38">
            <v>2.8396236857719668</v>
          </cell>
          <cell r="C38">
            <v>3.2944551948993634</v>
          </cell>
          <cell r="D38">
            <v>9.9648527147553452</v>
          </cell>
          <cell r="E38">
            <v>10.735813466716973</v>
          </cell>
          <cell r="F38">
            <v>11.860184687220714</v>
          </cell>
          <cell r="G38">
            <v>13.101679566789995</v>
          </cell>
        </row>
        <row r="39">
          <cell r="B39">
            <v>2.0012982838088815</v>
          </cell>
          <cell r="C39">
            <v>0.25947641844130059</v>
          </cell>
          <cell r="D39">
            <v>0.15170060414809633</v>
          </cell>
          <cell r="E39">
            <v>6.4612789011336533E-2</v>
          </cell>
          <cell r="F39">
            <v>0.10186846257487031</v>
          </cell>
          <cell r="G39">
            <v>0.17386216746575506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2.1412140660604088E-2</v>
          </cell>
          <cell r="G40">
            <v>6.8353659074968987E-2</v>
          </cell>
        </row>
        <row r="41">
          <cell r="B41">
            <v>0.35079534705665627</v>
          </cell>
          <cell r="C41">
            <v>0.69650992208243778</v>
          </cell>
          <cell r="D41">
            <v>3.6837231144566586E-2</v>
          </cell>
          <cell r="E41">
            <v>7.0605487851567092E-5</v>
          </cell>
          <cell r="F41">
            <v>2.878888512352678</v>
          </cell>
          <cell r="G41">
            <v>0.65429489532039253</v>
          </cell>
        </row>
        <row r="42">
          <cell r="B42">
            <v>0.87383263822153245</v>
          </cell>
          <cell r="C42">
            <v>2.3100680629058052</v>
          </cell>
          <cell r="D42">
            <v>4.4994753719102532</v>
          </cell>
          <cell r="E42">
            <v>6.4982760283044971</v>
          </cell>
          <cell r="F42">
            <v>3.3699524169497215</v>
          </cell>
          <cell r="G42">
            <v>0.84441030309836451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6.5976446873362793</v>
          </cell>
          <cell r="G43">
            <v>10.168419270415674</v>
          </cell>
        </row>
        <row r="44">
          <cell r="B44">
            <v>3.7119766869798938</v>
          </cell>
          <cell r="C44">
            <v>3.7138727134056375</v>
          </cell>
          <cell r="D44">
            <v>5.4332303957866586</v>
          </cell>
          <cell r="E44">
            <v>5.5461750839589383</v>
          </cell>
          <cell r="F44">
            <v>10.323237965493758</v>
          </cell>
          <cell r="G44">
            <v>8.1193415243743759E-3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0.20184975502490418</v>
          </cell>
          <cell r="G45">
            <v>10.620118216384464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1.1191605615767224E-2</v>
          </cell>
          <cell r="G46">
            <v>8.2550431144950878</v>
          </cell>
        </row>
        <row r="47">
          <cell r="B47">
            <v>0</v>
          </cell>
        </row>
        <row r="48">
          <cell r="B48">
            <v>0.24831358180531632</v>
          </cell>
          <cell r="C48">
            <v>1.089025913702526E-2</v>
          </cell>
          <cell r="D48">
            <v>8.2682765869141167E-2</v>
          </cell>
          <cell r="E48">
            <v>9.5543701771095706E-5</v>
          </cell>
          <cell r="F48">
            <v>8.7484961209974982E-2</v>
          </cell>
          <cell r="G48">
            <v>7.09920215940337E-2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6.6410660500308726E-5</v>
          </cell>
          <cell r="F49">
            <v>2.1314006130076495E-2</v>
          </cell>
          <cell r="G49">
            <v>1.7606473373063689E-2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9.7040356714188109E-3</v>
          </cell>
          <cell r="F50">
            <v>9.876851543478482E-2</v>
          </cell>
          <cell r="G50">
            <v>3.3795383857002495E-2</v>
          </cell>
        </row>
        <row r="51">
          <cell r="B51">
            <v>0.31109073467866527</v>
          </cell>
          <cell r="C51">
            <v>1.1823513175827393E-2</v>
          </cell>
          <cell r="D51">
            <v>0.15294832968130501</v>
          </cell>
          <cell r="E51">
            <v>9.7389992527777846E-5</v>
          </cell>
          <cell r="F51">
            <v>2.9048137565109049</v>
          </cell>
          <cell r="G51">
            <v>2.0170869821247921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6.3024198358165029E-5</v>
          </cell>
          <cell r="F52">
            <v>0.25412087087794411</v>
          </cell>
          <cell r="G52">
            <v>0.23782064930376196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1.4857444388951901E-2</v>
          </cell>
          <cell r="F53">
            <v>0.19575875087225289</v>
          </cell>
          <cell r="G53">
            <v>7.5914071334360567E-2</v>
          </cell>
        </row>
        <row r="54">
          <cell r="B54">
            <v>2.645420575486118</v>
          </cell>
          <cell r="C54">
            <v>3.0485681315911708</v>
          </cell>
          <cell r="D54">
            <v>3.0531665886383506</v>
          </cell>
          <cell r="E54">
            <v>3.032136808956257</v>
          </cell>
          <cell r="F54">
            <v>4.9163162764694821</v>
          </cell>
          <cell r="G54">
            <v>4.7587125794582281</v>
          </cell>
        </row>
        <row r="55">
          <cell r="B55">
            <v>1.8133453901902359</v>
          </cell>
          <cell r="C55">
            <v>1.7402137326307057</v>
          </cell>
          <cell r="D55">
            <v>0.1034793593453564</v>
          </cell>
          <cell r="E55">
            <v>3.4442331981931786E-5</v>
          </cell>
          <cell r="F55">
            <v>8.1344427092024567</v>
          </cell>
          <cell r="G55">
            <v>9.52103665231562E-3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1.9211170695958982E-3</v>
          </cell>
          <cell r="F56">
            <v>7.7463777129251649E-2</v>
          </cell>
          <cell r="G56">
            <v>1.1971993416332895E-2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3.8912635249181812E-3</v>
          </cell>
          <cell r="F57">
            <v>8.5294504777719063E-3</v>
          </cell>
          <cell r="G57">
            <v>5.5489318272369373E-2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5.6435691233439876E-5</v>
          </cell>
          <cell r="F58">
            <v>0.13622528402300768</v>
          </cell>
          <cell r="G58">
            <v>5.5404071852891923E-2</v>
          </cell>
        </row>
        <row r="63">
          <cell r="B63">
            <v>0.13702766512225123</v>
          </cell>
          <cell r="C63">
            <v>4.5901579956372771E-2</v>
          </cell>
          <cell r="D63">
            <v>0.13483766884888237</v>
          </cell>
          <cell r="E63">
            <v>5.6201464162444531E-4</v>
          </cell>
          <cell r="F63">
            <v>2.3203423242741501E-2</v>
          </cell>
          <cell r="G63">
            <v>3.2366647053907877E-2</v>
          </cell>
        </row>
        <row r="64">
          <cell r="B64">
            <v>4.2964544817360929E-2</v>
          </cell>
          <cell r="C64">
            <v>3.7913277250744927E-2</v>
          </cell>
          <cell r="D64">
            <v>4.2924755316471906E-2</v>
          </cell>
          <cell r="E64">
            <v>4.8848261339557789E-3</v>
          </cell>
          <cell r="F64">
            <v>4.8253057458014434E-2</v>
          </cell>
          <cell r="G64">
            <v>0.31852007867075249</v>
          </cell>
        </row>
        <row r="65">
          <cell r="B65">
            <v>3.7904880182755493E-2</v>
          </cell>
          <cell r="C65">
            <v>3.2334149950302093E-2</v>
          </cell>
          <cell r="D65">
            <v>3.8088998600021871E-2</v>
          </cell>
          <cell r="E65">
            <v>6.1711329415462968E-3</v>
          </cell>
          <cell r="F65">
            <v>5.2368947976144165E-2</v>
          </cell>
          <cell r="G65">
            <v>0.15067158893668228</v>
          </cell>
        </row>
        <row r="66">
          <cell r="B66">
            <v>1.1940924316586264E-2</v>
          </cell>
          <cell r="C66">
            <v>1.1875838085072562E-2</v>
          </cell>
          <cell r="D66">
            <v>1.2005436285344017E-2</v>
          </cell>
          <cell r="E66">
            <v>6.5687816407458731E-3</v>
          </cell>
          <cell r="F66">
            <v>8.0321234321038937E-2</v>
          </cell>
          <cell r="G66">
            <v>0.10569950363486154</v>
          </cell>
        </row>
        <row r="67">
          <cell r="B67">
            <v>2.3820111552696144E-2</v>
          </cell>
          <cell r="C67">
            <v>2.3688251993378498E-2</v>
          </cell>
          <cell r="D67">
            <v>2.3985109846380394E-2</v>
          </cell>
          <cell r="E67">
            <v>8.220968548774665E-3</v>
          </cell>
          <cell r="F67">
            <v>9.3542309428052167E-2</v>
          </cell>
          <cell r="G67">
            <v>0.10279775759518035</v>
          </cell>
        </row>
        <row r="68">
          <cell r="B68">
            <v>2.3815880984976334E-2</v>
          </cell>
          <cell r="C68">
            <v>2.3683777299927503E-2</v>
          </cell>
          <cell r="D68">
            <v>2.3979697414913986E-2</v>
          </cell>
          <cell r="E68">
            <v>8.2118027136891102E-3</v>
          </cell>
          <cell r="F68">
            <v>9.4932493517926569E-2</v>
          </cell>
          <cell r="G68">
            <v>0.10284197299508838</v>
          </cell>
        </row>
        <row r="69">
          <cell r="B69">
            <v>1.1978789369541455E-2</v>
          </cell>
          <cell r="C69">
            <v>1.1912477935219639E-2</v>
          </cell>
          <cell r="D69">
            <v>1.2042096888139562E-2</v>
          </cell>
          <cell r="E69">
            <v>6.5269758554170835E-3</v>
          </cell>
          <cell r="F69">
            <v>6.7822849109946973E-2</v>
          </cell>
          <cell r="G69">
            <v>6.4812870766061112E-2</v>
          </cell>
        </row>
        <row r="90">
          <cell r="B90">
            <v>2.0281192776027943</v>
          </cell>
          <cell r="C90">
            <v>1.2901160057308354</v>
          </cell>
          <cell r="D90">
            <v>1.3079413058820757</v>
          </cell>
          <cell r="E90">
            <v>2.0532217513126054E-5</v>
          </cell>
          <cell r="F90">
            <v>8.2747007991598406E-4</v>
          </cell>
          <cell r="G90">
            <v>8.8659602396557239E-4</v>
          </cell>
        </row>
        <row r="91">
          <cell r="B91">
            <v>1.1839600421804968</v>
          </cell>
          <cell r="C91">
            <v>4.1164818992322409</v>
          </cell>
          <cell r="D91">
            <v>4.2876497115303698</v>
          </cell>
          <cell r="E91">
            <v>9.7744967545413652E-5</v>
          </cell>
          <cell r="F91">
            <v>0.10434183728637794</v>
          </cell>
          <cell r="G91">
            <v>2.3592357067492298</v>
          </cell>
        </row>
        <row r="92">
          <cell r="B92">
            <v>1.4500335445665617</v>
          </cell>
          <cell r="C92">
            <v>3.8009267940464406</v>
          </cell>
          <cell r="D92">
            <v>3.7972475666171479</v>
          </cell>
          <cell r="E92">
            <v>0.97504718505520127</v>
          </cell>
          <cell r="F92">
            <v>0</v>
          </cell>
          <cell r="G92">
            <v>0</v>
          </cell>
        </row>
        <row r="93">
          <cell r="B93">
            <v>0.21545546560521597</v>
          </cell>
          <cell r="C93">
            <v>0.21746110048169448</v>
          </cell>
          <cell r="D93">
            <v>5.4313141237773394E-2</v>
          </cell>
          <cell r="E93">
            <v>5.2246626158704214E-2</v>
          </cell>
          <cell r="F93">
            <v>4.6493364707698981E-4</v>
          </cell>
          <cell r="G93">
            <v>6.8404168439204876E-6</v>
          </cell>
        </row>
        <row r="94">
          <cell r="B94">
            <v>2.1204216235405631</v>
          </cell>
          <cell r="C94">
            <v>1.9136709265110896</v>
          </cell>
          <cell r="D94">
            <v>1.6407356539492877</v>
          </cell>
          <cell r="E94">
            <v>1.2695670179551524</v>
          </cell>
          <cell r="F94">
            <v>0.7601574189882333</v>
          </cell>
          <cell r="G94">
            <v>0.45514021006295219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7.3213940634494091E-3</v>
          </cell>
          <cell r="G96">
            <v>9.6199738260660944E-3</v>
          </cell>
        </row>
        <row r="97">
          <cell r="B97">
            <v>0</v>
          </cell>
          <cell r="C97">
            <v>0.84427610863971569</v>
          </cell>
          <cell r="D97">
            <v>0.8698809550859351</v>
          </cell>
          <cell r="E97">
            <v>3.4040699331683277</v>
          </cell>
          <cell r="F97">
            <v>3.7602128028696291</v>
          </cell>
          <cell r="G97">
            <v>4.1536171834665563</v>
          </cell>
        </row>
      </sheetData>
      <sheetData sheetId="35">
        <row r="14">
          <cell r="B14">
            <v>3.0805587219222113</v>
          </cell>
          <cell r="C14">
            <v>3.0805587219222113</v>
          </cell>
          <cell r="D14">
            <v>2.8402417135845561</v>
          </cell>
          <cell r="E14">
            <v>2.6090415664829618</v>
          </cell>
          <cell r="F14">
            <v>1.2356851844506809</v>
          </cell>
          <cell r="G14">
            <v>0</v>
          </cell>
        </row>
        <row r="15">
          <cell r="B15">
            <v>7.3394300010600002</v>
          </cell>
          <cell r="C15">
            <v>7.4233635378839393</v>
          </cell>
          <cell r="D15">
            <v>7.4233984922704828</v>
          </cell>
          <cell r="E15">
            <v>7.4234042073842499</v>
          </cell>
          <cell r="F15">
            <v>7.4242463410124797</v>
          </cell>
          <cell r="G15">
            <v>7.6706322338338406</v>
          </cell>
        </row>
        <row r="16">
          <cell r="B16">
            <v>4.7247299999999992</v>
          </cell>
          <cell r="C16">
            <v>4.8189102962541908</v>
          </cell>
          <cell r="D16">
            <v>4.8700182654848128</v>
          </cell>
          <cell r="E16">
            <v>5.0149465683947856</v>
          </cell>
          <cell r="F16">
            <v>5.0156611374094346</v>
          </cell>
          <cell r="G16">
            <v>5.2142726319125714</v>
          </cell>
        </row>
        <row r="17">
          <cell r="B17">
            <v>3.3394499999999998</v>
          </cell>
          <cell r="C17">
            <v>3.9736739117482109</v>
          </cell>
          <cell r="D17">
            <v>4.362095154760679</v>
          </cell>
          <cell r="E17">
            <v>4.3620953878623467</v>
          </cell>
          <cell r="F17">
            <v>4.3620963834555901</v>
          </cell>
          <cell r="G17">
            <v>4.3620971459753211</v>
          </cell>
        </row>
        <row r="18">
          <cell r="B18">
            <v>4.6976922687830103E-2</v>
          </cell>
          <cell r="C18">
            <v>2.2526674797233394E-2</v>
          </cell>
          <cell r="D18">
            <v>2.129832934350356E-2</v>
          </cell>
          <cell r="E18">
            <v>1.8800303524091795E-2</v>
          </cell>
          <cell r="F18">
            <v>4.228749455588135E-2</v>
          </cell>
          <cell r="G18">
            <v>2.4369221809542398E-2</v>
          </cell>
        </row>
        <row r="19">
          <cell r="B19">
            <v>0.27376924014356618</v>
          </cell>
          <cell r="C19">
            <v>0.27371253311438182</v>
          </cell>
          <cell r="D19">
            <v>0.27657656017212434</v>
          </cell>
          <cell r="E19">
            <v>0.27980813432444973</v>
          </cell>
          <cell r="F19">
            <v>0.30121707039180351</v>
          </cell>
          <cell r="G19">
            <v>0.19168736247084839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1.42467228061053E-2</v>
          </cell>
          <cell r="G20">
            <v>0.16579316663061341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1.55906066807836E-2</v>
          </cell>
          <cell r="G21">
            <v>2.9009810445399988E-3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7.4859020165181601E-3</v>
          </cell>
          <cell r="F22">
            <v>7.2569532033996728E-2</v>
          </cell>
          <cell r="G22">
            <v>6.9954637458744223E-2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2.1343991908768299E-3</v>
          </cell>
          <cell r="G23">
            <v>0.17623480798031951</v>
          </cell>
        </row>
        <row r="24">
          <cell r="B24">
            <v>0.10167103234796462</v>
          </cell>
          <cell r="C24">
            <v>1.4898207010689835E-4</v>
          </cell>
          <cell r="D24">
            <v>2.1695441426320128E-3</v>
          </cell>
          <cell r="E24">
            <v>3.3945725022771489E-5</v>
          </cell>
          <cell r="F24">
            <v>1.10867749769723E-3</v>
          </cell>
          <cell r="G24">
            <v>8.6563650446493644E-4</v>
          </cell>
        </row>
        <row r="25">
          <cell r="B25">
            <v>1.9717987312919003E-2</v>
          </cell>
          <cell r="C25">
            <v>1.4388327798144959E-2</v>
          </cell>
          <cell r="D25">
            <v>1.4436960237928384E-2</v>
          </cell>
          <cell r="E25">
            <v>2.5712902132140475E-4</v>
          </cell>
          <cell r="F25">
            <v>5.6471763184344034E-2</v>
          </cell>
          <cell r="G25">
            <v>9.946960010081142E-2</v>
          </cell>
        </row>
        <row r="26">
          <cell r="B26">
            <v>7.6807136443232144E-2</v>
          </cell>
          <cell r="C26">
            <v>7.2094911490364261E-2</v>
          </cell>
          <cell r="D26">
            <v>7.2067044387858534E-2</v>
          </cell>
          <cell r="E26">
            <v>7.1271039921174811E-2</v>
          </cell>
          <cell r="F26">
            <v>6.091735040708695E-2</v>
          </cell>
          <cell r="G26">
            <v>3.2771694357404485E-2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9.5448211282578698E-3</v>
          </cell>
          <cell r="G27">
            <v>4.7184666076219885E-2</v>
          </cell>
        </row>
        <row r="28">
          <cell r="B28">
            <v>1.0476321399723588E-2</v>
          </cell>
          <cell r="C28">
            <v>8.5993302989912299E-3</v>
          </cell>
          <cell r="D28">
            <v>7.9541327326554737E-3</v>
          </cell>
          <cell r="E28">
            <v>3.1276245505350584E-3</v>
          </cell>
          <cell r="F28">
            <v>1.2528651724565379E-3</v>
          </cell>
          <cell r="G28">
            <v>8.2196008576724254E-4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1.24860165011013E-3</v>
          </cell>
          <cell r="G29">
            <v>1.4323098140733238E-3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8.3781618637900903E-4</v>
          </cell>
          <cell r="G30">
            <v>1.1383399687612931E-2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1.0947532132440799E-3</v>
          </cell>
          <cell r="G31">
            <v>2.0468795270294628E-2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9.9577281970606807E-7</v>
          </cell>
          <cell r="G32">
            <v>1.0915680042655849E-6</v>
          </cell>
        </row>
        <row r="33">
          <cell r="B33">
            <v>8.7120000000000003E-2</v>
          </cell>
          <cell r="C33">
            <v>9.0660024588796642E-2</v>
          </cell>
          <cell r="D33">
            <v>0.1751936156707796</v>
          </cell>
          <cell r="E33">
            <v>0.3408760508966503</v>
          </cell>
          <cell r="F33">
            <v>0.83471227382623769</v>
          </cell>
          <cell r="G33">
            <v>1.01751010360399</v>
          </cell>
        </row>
        <row r="34">
          <cell r="B34">
            <v>0</v>
          </cell>
          <cell r="C34">
            <v>0</v>
          </cell>
          <cell r="D34">
            <v>1.6951471436908401E-2</v>
          </cell>
          <cell r="E34">
            <v>1.6967153061841347E-2</v>
          </cell>
          <cell r="F34">
            <v>0.60086681757110105</v>
          </cell>
          <cell r="G34">
            <v>2.2294989236324221</v>
          </cell>
        </row>
        <row r="35">
          <cell r="B35">
            <v>1.1186210000000001</v>
          </cell>
          <cell r="C35">
            <v>1.6529270686211699</v>
          </cell>
          <cell r="D35">
            <v>3.5611804028410496</v>
          </cell>
          <cell r="E35">
            <v>3.5352473321332401</v>
          </cell>
          <cell r="F35">
            <v>11.775061890227436</v>
          </cell>
          <cell r="G35">
            <v>18.551331979472099</v>
          </cell>
        </row>
        <row r="36">
          <cell r="B36">
            <v>0.67885700000000004</v>
          </cell>
          <cell r="C36">
            <v>1.1559107101132875</v>
          </cell>
          <cell r="D36">
            <v>1.2952588280485555</v>
          </cell>
          <cell r="E36">
            <v>1.2583869356139528</v>
          </cell>
          <cell r="F36">
            <v>0.45332789566584669</v>
          </cell>
          <cell r="G36">
            <v>2.0497155460110002E-2</v>
          </cell>
        </row>
        <row r="37">
          <cell r="B37">
            <v>0.27424799999999999</v>
          </cell>
          <cell r="C37">
            <v>0.43895624780918951</v>
          </cell>
          <cell r="D37">
            <v>1.1361216818974336</v>
          </cell>
          <cell r="E37">
            <v>1.1244088970046331</v>
          </cell>
          <cell r="F37">
            <v>1.242187432582641</v>
          </cell>
          <cell r="G37">
            <v>1.372289320494668</v>
          </cell>
        </row>
        <row r="38">
          <cell r="B38">
            <v>0.90292899999999998</v>
          </cell>
          <cell r="C38">
            <v>1.1231013151499882</v>
          </cell>
          <cell r="D38">
            <v>3.1793862614738702</v>
          </cell>
          <cell r="E38">
            <v>3.0948233828369198</v>
          </cell>
          <cell r="F38">
            <v>3.4189474640159792</v>
          </cell>
          <cell r="G38">
            <v>3.7768336409340599</v>
          </cell>
        </row>
        <row r="39">
          <cell r="B39">
            <v>2.4995720415838502E-2</v>
          </cell>
          <cell r="C39">
            <v>1.8485987093146257E-2</v>
          </cell>
          <cell r="D39">
            <v>1.1756912966303108E-2</v>
          </cell>
          <cell r="E39">
            <v>5.52996192922817E-3</v>
          </cell>
          <cell r="F39">
            <v>4.4896205822657857E-3</v>
          </cell>
          <cell r="G39">
            <v>5.2062178790961665E-3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1.4362331495537499E-3</v>
          </cell>
          <cell r="G40">
            <v>2.3389902386381106E-3</v>
          </cell>
        </row>
        <row r="41">
          <cell r="B41">
            <v>8.3030418575452403E-3</v>
          </cell>
          <cell r="C41">
            <v>7.0414518551081308E-3</v>
          </cell>
          <cell r="D41">
            <v>7.0157257677991927E-3</v>
          </cell>
          <cell r="E41">
            <v>2.893963751112328E-5</v>
          </cell>
          <cell r="F41">
            <v>2.1539491059420546E-2</v>
          </cell>
          <cell r="G41">
            <v>2.4841531900038665E-2</v>
          </cell>
        </row>
        <row r="42">
          <cell r="B42">
            <v>1.2740378497817541E-2</v>
          </cell>
          <cell r="C42">
            <v>1.9340884257740745E-2</v>
          </cell>
          <cell r="D42">
            <v>4.2141731642984376E-2</v>
          </cell>
          <cell r="E42">
            <v>8.2865733696238605E-2</v>
          </cell>
          <cell r="F42">
            <v>8.6322431742809222E-2</v>
          </cell>
          <cell r="G42">
            <v>2.3180314126974039E-2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0.119247903172018</v>
          </cell>
          <cell r="G43">
            <v>0.15164682380884001</v>
          </cell>
        </row>
        <row r="44">
          <cell r="B44">
            <v>4.6497582585033309E-2</v>
          </cell>
          <cell r="C44">
            <v>1.7211660941761894E-2</v>
          </cell>
          <cell r="D44">
            <v>1.7206463469552583E-2</v>
          </cell>
          <cell r="E44">
            <v>2.8370608218191495E-2</v>
          </cell>
          <cell r="F44">
            <v>2.6132895190014913E-2</v>
          </cell>
          <cell r="G44">
            <v>8.4727256388531999E-4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1.2427516510010101E-3</v>
          </cell>
          <cell r="G45">
            <v>5.9790690061943423E-2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1.4404716120832439E-3</v>
          </cell>
          <cell r="G46">
            <v>0.18490118204632081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1.1666634267946792E-2</v>
          </cell>
          <cell r="G47">
            <v>8.5078263425126931E-3</v>
          </cell>
        </row>
        <row r="48">
          <cell r="B48">
            <v>4.1831968307109568E-3</v>
          </cell>
          <cell r="C48">
            <v>6.2899677244512646E-4</v>
          </cell>
          <cell r="D48">
            <v>7.4360253753012089E-4</v>
          </cell>
          <cell r="E48">
            <v>4.8419096901906921E-6</v>
          </cell>
          <cell r="F48">
            <v>1.9570602731298569E-3</v>
          </cell>
          <cell r="G48">
            <v>1.7859379577234245E-3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4.1688238843417E-5</v>
          </cell>
          <cell r="F49">
            <v>8.2445128953822274E-4</v>
          </cell>
          <cell r="G49">
            <v>7.0717568801112907E-4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2.9500543618388403E-4</v>
          </cell>
          <cell r="F50">
            <v>1.5967948097043972E-3</v>
          </cell>
          <cell r="G50">
            <v>7.3656101704771095E-4</v>
          </cell>
        </row>
        <row r="51">
          <cell r="B51">
            <v>1.1926362413130664E-2</v>
          </cell>
          <cell r="C51">
            <v>7.5696036586499823E-4</v>
          </cell>
          <cell r="D51">
            <v>2.2179783518800908E-3</v>
          </cell>
          <cell r="E51">
            <v>5.1017115689547775E-6</v>
          </cell>
          <cell r="F51">
            <v>6.537695159958784E-2</v>
          </cell>
          <cell r="G51">
            <v>4.8723350336724397E-2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1.3637580994788008E-4</v>
          </cell>
          <cell r="F52">
            <v>9.9447310352695877E-3</v>
          </cell>
          <cell r="G52">
            <v>9.526968722421196E-3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4.9947589922223398E-4</v>
          </cell>
          <cell r="F53">
            <v>3.4288422533382216E-3</v>
          </cell>
          <cell r="G53">
            <v>1.5660599813086386E-3</v>
          </cell>
        </row>
        <row r="54">
          <cell r="B54">
            <v>7.351198243817951E-2</v>
          </cell>
          <cell r="C54">
            <v>8.4904615195932218E-2</v>
          </cell>
          <cell r="D54">
            <v>8.4765475805950799E-2</v>
          </cell>
          <cell r="E54">
            <v>8.4756521032349319E-2</v>
          </cell>
          <cell r="F54">
            <v>0.16939546399036284</v>
          </cell>
          <cell r="G54">
            <v>0.20354247801471359</v>
          </cell>
        </row>
        <row r="55">
          <cell r="B55">
            <v>6.5199069864587789E-2</v>
          </cell>
          <cell r="C55">
            <v>4.7902064996122908E-2</v>
          </cell>
          <cell r="D55">
            <v>4.1064750531882993E-3</v>
          </cell>
          <cell r="E55">
            <v>6.8329795469695975E-7</v>
          </cell>
          <cell r="F55">
            <v>0.1717920537358425</v>
          </cell>
          <cell r="G55">
            <v>4.7614272716400841E-4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9.7814552723228605E-5</v>
          </cell>
          <cell r="F56">
            <v>1.8078331215274778E-3</v>
          </cell>
          <cell r="G56">
            <v>6.1426503312946598E-4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2.7337757247883099E-4</v>
          </cell>
          <cell r="F57">
            <v>6.2432127175940713E-4</v>
          </cell>
          <cell r="G57">
            <v>1.9867710661655553E-3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4.9484412168788504E-6</v>
          </cell>
          <cell r="F58">
            <v>4.9197242897773014E-3</v>
          </cell>
          <cell r="G58">
            <v>3.3588768138715303E-3</v>
          </cell>
        </row>
        <row r="63">
          <cell r="B63">
            <v>0.1</v>
          </cell>
          <cell r="C63">
            <v>9.9755193850200222E-2</v>
          </cell>
          <cell r="D63">
            <v>9.9752811191721039E-2</v>
          </cell>
          <cell r="E63">
            <v>9.9748887833030569E-2</v>
          </cell>
          <cell r="F63">
            <v>9.9756725891707101E-2</v>
          </cell>
          <cell r="G63">
            <v>9.9987540866037741E-2</v>
          </cell>
        </row>
        <row r="64">
          <cell r="B64">
            <v>6.3974375621535101E-3</v>
          </cell>
          <cell r="C64">
            <v>6.4014427519739963E-3</v>
          </cell>
          <cell r="D64">
            <v>6.4283905461483201E-3</v>
          </cell>
          <cell r="E64">
            <v>4.681036908063485E-3</v>
          </cell>
          <cell r="F64">
            <v>1.0263689700674043E-2</v>
          </cell>
          <cell r="G64">
            <v>0.86401581077771239</v>
          </cell>
        </row>
        <row r="65">
          <cell r="B65">
            <v>4.7666792010253398E-3</v>
          </cell>
          <cell r="C65">
            <v>4.7701317157778237E-3</v>
          </cell>
          <cell r="D65">
            <v>4.7898443880513304E-3</v>
          </cell>
          <cell r="E65">
            <v>3.4947204650362424E-3</v>
          </cell>
          <cell r="F65">
            <v>8.10874975157529E-3</v>
          </cell>
          <cell r="G65">
            <v>9.8175237545926566E-2</v>
          </cell>
        </row>
        <row r="66">
          <cell r="B66">
            <v>4.4299094038485788E-3</v>
          </cell>
          <cell r="C66">
            <v>4.4334497998193105E-3</v>
          </cell>
          <cell r="D66">
            <v>4.4567937538553936E-3</v>
          </cell>
          <cell r="E66">
            <v>1.8414035177388544E-2</v>
          </cell>
          <cell r="F66">
            <v>4.2842374013213301E-2</v>
          </cell>
          <cell r="G66">
            <v>8.1343563583433295E-2</v>
          </cell>
        </row>
        <row r="67">
          <cell r="B67">
            <v>8.8345664006577833E-3</v>
          </cell>
          <cell r="C67">
            <v>8.8417802203508596E-3</v>
          </cell>
          <cell r="D67">
            <v>8.9029781468789176E-3</v>
          </cell>
          <cell r="E67">
            <v>3.2265648000470146E-2</v>
          </cell>
          <cell r="F67">
            <v>6.0131057071990957E-2</v>
          </cell>
          <cell r="G67">
            <v>8.022883287672633E-2</v>
          </cell>
        </row>
        <row r="68">
          <cell r="B68">
            <v>8.8329598915533776E-3</v>
          </cell>
          <cell r="C68">
            <v>8.8401633925767678E-3</v>
          </cell>
          <cell r="D68">
            <v>8.9016476287031958E-3</v>
          </cell>
          <cell r="E68">
            <v>3.225427610358083E-2</v>
          </cell>
          <cell r="F68">
            <v>6.0559268274608904E-2</v>
          </cell>
          <cell r="G68">
            <v>8.0267472225384578E-2</v>
          </cell>
        </row>
        <row r="69">
          <cell r="B69">
            <v>4.4433626626298565E-3</v>
          </cell>
          <cell r="C69">
            <v>4.4468808427900221E-3</v>
          </cell>
          <cell r="D69">
            <v>4.4708003778973736E-3</v>
          </cell>
          <cell r="E69">
            <v>1.8184854830134437E-2</v>
          </cell>
          <cell r="F69">
            <v>3.4126813059687476E-2</v>
          </cell>
          <cell r="G69">
            <v>4.2967500445493502E-2</v>
          </cell>
        </row>
      </sheetData>
      <sheetData sheetId="36"/>
      <sheetData sheetId="37"/>
      <sheetData sheetId="38"/>
      <sheetData sheetId="39"/>
      <sheetData sheetId="40"/>
      <sheetData sheetId="41"/>
      <sheetData sheetId="42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1.6208761813359507E-2</v>
          </cell>
        </row>
      </sheetData>
      <sheetData sheetId="43">
        <row r="5">
          <cell r="B5">
            <v>0.54566383220082548</v>
          </cell>
          <cell r="C5">
            <v>0.66260468448084975</v>
          </cell>
          <cell r="D5">
            <v>7.938773906589075E-2</v>
          </cell>
          <cell r="E5">
            <v>2.8191978621085137E-5</v>
          </cell>
          <cell r="F5">
            <v>2.8080393176744129</v>
          </cell>
          <cell r="G5">
            <v>2.2828770250326849</v>
          </cell>
        </row>
        <row r="12">
          <cell r="B12">
            <v>0.11942874163274815</v>
          </cell>
          <cell r="C12">
            <v>2.6545894331755789E-3</v>
          </cell>
          <cell r="D12">
            <v>1.2449589193226129</v>
          </cell>
          <cell r="E12">
            <v>3.5664195776893104</v>
          </cell>
          <cell r="F12">
            <v>5.9326181715064542E-4</v>
          </cell>
          <cell r="G12">
            <v>4.3511930074472061E-4</v>
          </cell>
        </row>
        <row r="19">
          <cell r="B19">
            <v>1.3280112949650908</v>
          </cell>
          <cell r="C19">
            <v>4.3847374340687209</v>
          </cell>
          <cell r="D19">
            <v>4.3847558437871497</v>
          </cell>
          <cell r="E19">
            <v>4.384770662238024</v>
          </cell>
          <cell r="F19">
            <v>5.1311417059496005</v>
          </cell>
          <cell r="G19">
            <v>9.4405471546661346</v>
          </cell>
        </row>
        <row r="20">
          <cell r="B20">
            <v>5.629414627434242</v>
          </cell>
          <cell r="C20">
            <v>5.6371681023407954</v>
          </cell>
          <cell r="D20">
            <v>5.4279791739799181</v>
          </cell>
          <cell r="E20">
            <v>6.9211508615250983</v>
          </cell>
          <cell r="F20">
            <v>7.6651620224520265</v>
          </cell>
          <cell r="G20">
            <v>9.846831744273782</v>
          </cell>
        </row>
        <row r="21">
          <cell r="B21">
            <v>0</v>
          </cell>
          <cell r="C21">
            <v>0.13668443195391022</v>
          </cell>
          <cell r="D21">
            <v>6.27048677302754E-3</v>
          </cell>
          <cell r="E21">
            <v>0.6583068860782384</v>
          </cell>
          <cell r="F21">
            <v>0.66410639568313734</v>
          </cell>
          <cell r="G21">
            <v>0.66408738400377765</v>
          </cell>
        </row>
        <row r="28">
          <cell r="B28">
            <v>3.5102698047427845E-3</v>
          </cell>
          <cell r="C28">
            <v>4.1781516031292954E-3</v>
          </cell>
          <cell r="D28">
            <v>4.1884572849596362E-3</v>
          </cell>
          <cell r="E28">
            <v>4.1908547742934808E-3</v>
          </cell>
          <cell r="F28">
            <v>21.991070754440408</v>
          </cell>
          <cell r="G28">
            <v>21.991064128393653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1.3842229920916216E-3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9.9273168820822495E-3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1.2292725849087915E-3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5.5846162451889194</v>
          </cell>
        </row>
        <row r="38">
          <cell r="B38">
            <v>1.2890791369652281</v>
          </cell>
          <cell r="C38">
            <v>1.4205753150153078</v>
          </cell>
          <cell r="D38">
            <v>1.4205733519362134</v>
          </cell>
          <cell r="E38">
            <v>6.7072189187663671</v>
          </cell>
          <cell r="F38">
            <v>6.238205892286059</v>
          </cell>
          <cell r="G38">
            <v>11.184865494034453</v>
          </cell>
        </row>
        <row r="39">
          <cell r="B39">
            <v>1.1764787816938644</v>
          </cell>
          <cell r="C39">
            <v>1.2964888407457542</v>
          </cell>
          <cell r="D39">
            <v>1.2964870491405391</v>
          </cell>
          <cell r="E39">
            <v>6.1213470265923204</v>
          </cell>
          <cell r="F39">
            <v>5.693302030618586</v>
          </cell>
          <cell r="G39">
            <v>10.207873630481652</v>
          </cell>
        </row>
      </sheetData>
      <sheetData sheetId="44">
        <row r="3">
          <cell r="B3">
            <v>48.063397652170998</v>
          </cell>
          <cell r="C3">
            <v>50.546897095778981</v>
          </cell>
          <cell r="D3">
            <v>52.134593751062376</v>
          </cell>
          <cell r="E3">
            <v>53.585510819823583</v>
          </cell>
          <cell r="F3">
            <v>55.066324998513984</v>
          </cell>
          <cell r="G3">
            <v>56.762857799404671</v>
          </cell>
        </row>
        <row r="6">
          <cell r="B6">
            <v>0</v>
          </cell>
          <cell r="C6">
            <v>4.8949231834864513</v>
          </cell>
          <cell r="D6">
            <v>4.896138238679999</v>
          </cell>
          <cell r="E6">
            <v>28.036034650825123</v>
          </cell>
          <cell r="F6">
            <v>31.253260767517897</v>
          </cell>
          <cell r="G6">
            <v>31.253302295032132</v>
          </cell>
        </row>
        <row r="11">
          <cell r="B11">
            <v>60.070149622205442</v>
          </cell>
          <cell r="C11">
            <v>62.618130519489689</v>
          </cell>
          <cell r="D11">
            <v>67.127184309947936</v>
          </cell>
          <cell r="E11">
            <v>62.159958882445679</v>
          </cell>
          <cell r="F11">
            <v>63.263741353286079</v>
          </cell>
          <cell r="G11">
            <v>65.313036772849941</v>
          </cell>
        </row>
        <row r="18">
          <cell r="B18">
            <v>3.5600126292326757</v>
          </cell>
          <cell r="C18">
            <v>3.4647193098122413</v>
          </cell>
          <cell r="D18">
            <v>3.9355579699592212E-2</v>
          </cell>
          <cell r="E18">
            <v>7.8442736175054533E-6</v>
          </cell>
          <cell r="F18">
            <v>5.665934434187298E-4</v>
          </cell>
          <cell r="G18">
            <v>1.3661270687521166E-3</v>
          </cell>
        </row>
        <row r="19">
          <cell r="B19">
            <v>12.728774195313637</v>
          </cell>
          <cell r="C19">
            <v>13.638482955839239</v>
          </cell>
          <cell r="D19">
            <v>13.373285189922981</v>
          </cell>
          <cell r="E19">
            <v>12.943020345178262</v>
          </cell>
          <cell r="F19">
            <v>15.511866335055544</v>
          </cell>
          <cell r="G19">
            <v>20.179715242800366</v>
          </cell>
        </row>
        <row r="21">
          <cell r="B21">
            <v>7.7980557698712785</v>
          </cell>
          <cell r="C21">
            <v>8.0802665030333447</v>
          </cell>
          <cell r="D21">
            <v>5.608370474972503</v>
          </cell>
          <cell r="E21">
            <v>5.7250651931261078</v>
          </cell>
          <cell r="F21">
            <v>0.21718736886875803</v>
          </cell>
          <cell r="G21">
            <v>3.688772163338756E-3</v>
          </cell>
        </row>
        <row r="22">
          <cell r="B22">
            <v>6.7704679886547492E-2</v>
          </cell>
          <cell r="C22">
            <v>8.5522872062227848E-2</v>
          </cell>
          <cell r="D22">
            <v>1.520889332072942</v>
          </cell>
          <cell r="E22">
            <v>2.3297968911711315</v>
          </cell>
          <cell r="F22">
            <v>0.87121893147543927</v>
          </cell>
          <cell r="G22">
            <v>1.4457802653556746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4.5676582093843683</v>
          </cell>
          <cell r="G23">
            <v>5.4780958634707186</v>
          </cell>
        </row>
        <row r="24">
          <cell r="B24">
            <v>0.74860733846002869</v>
          </cell>
          <cell r="C24">
            <v>0.94976301942943764</v>
          </cell>
          <cell r="D24">
            <v>2.2973623349247285</v>
          </cell>
          <cell r="E24">
            <v>3.1204312694874341</v>
          </cell>
          <cell r="F24">
            <v>3.1791096641103178</v>
          </cell>
          <cell r="G24">
            <v>3.5357479522051656</v>
          </cell>
        </row>
        <row r="33">
          <cell r="B33">
            <v>12.006751970034443</v>
          </cell>
          <cell r="C33">
            <v>12.710071769416087</v>
          </cell>
          <cell r="D33">
            <v>15.631707084127186</v>
          </cell>
          <cell r="E33">
            <v>15.962736626735969</v>
          </cell>
          <cell r="F33">
            <v>15.872097175552632</v>
          </cell>
          <cell r="G33">
            <v>15.904085256160073</v>
          </cell>
        </row>
        <row r="34">
          <cell r="B34">
            <v>8.8978428654847015</v>
          </cell>
          <cell r="C34">
            <v>8.1035799852319297</v>
          </cell>
          <cell r="D34">
            <v>7.9331135147821819</v>
          </cell>
          <cell r="E34">
            <v>4.9339705535953238</v>
          </cell>
          <cell r="F34">
            <v>2.1093943135901614</v>
          </cell>
          <cell r="G34">
            <v>7.8842582349893204E-5</v>
          </cell>
        </row>
        <row r="35">
          <cell r="B35">
            <v>2.7300122354093239</v>
          </cell>
          <cell r="C35">
            <v>1.2658104005615924</v>
          </cell>
          <cell r="D35">
            <v>2.1269658818152477E-2</v>
          </cell>
          <cell r="E35">
            <v>7.3131339522252191E-6</v>
          </cell>
          <cell r="F35">
            <v>6.0965291837610435E-4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1.7925419872694137E-4</v>
          </cell>
          <cell r="E36">
            <v>1.8072921784475544E-4</v>
          </cell>
          <cell r="F36">
            <v>1.4062485666375213</v>
          </cell>
          <cell r="G36">
            <v>1.9035104995053207</v>
          </cell>
        </row>
        <row r="37">
          <cell r="B37">
            <v>35.251582761755017</v>
          </cell>
          <cell r="C37">
            <v>30.34770824276621</v>
          </cell>
          <cell r="D37">
            <v>30.724007882297844</v>
          </cell>
          <cell r="E37">
            <v>12.155286585008463</v>
          </cell>
          <cell r="F37">
            <v>3.0884697670090659</v>
          </cell>
          <cell r="G37">
            <v>0.56554697839336765</v>
          </cell>
        </row>
        <row r="38">
          <cell r="B38">
            <v>0.30080361442748077</v>
          </cell>
          <cell r="C38">
            <v>3.7734977759154196E-4</v>
          </cell>
          <cell r="D38">
            <v>3.7819595985442224E-4</v>
          </cell>
          <cell r="E38">
            <v>3.7877508244235533E-4</v>
          </cell>
          <cell r="F38">
            <v>2.1674312693955771</v>
          </cell>
          <cell r="G38">
            <v>2.1695255327521199</v>
          </cell>
        </row>
        <row r="39">
          <cell r="B39">
            <v>0.43674736441125178</v>
          </cell>
          <cell r="C39">
            <v>0.5520705877396842</v>
          </cell>
          <cell r="D39">
            <v>2.2236652505444683</v>
          </cell>
          <cell r="E39">
            <v>2.2243584945026331</v>
          </cell>
          <cell r="F39">
            <v>2.2250378243742728</v>
          </cell>
          <cell r="G39">
            <v>3.7774466188892841</v>
          </cell>
        </row>
        <row r="55">
          <cell r="B55">
            <v>9.8139538034048215</v>
          </cell>
          <cell r="C55">
            <v>10.335095726842891</v>
          </cell>
          <cell r="D55">
            <v>12.289845023810598</v>
          </cell>
          <cell r="E55">
            <v>12.289856301659446</v>
          </cell>
          <cell r="F55">
            <v>12.289853581343241</v>
          </cell>
          <cell r="G55">
            <v>12.289851450726616</v>
          </cell>
        </row>
        <row r="56">
          <cell r="B56">
            <v>1.1083451893270853</v>
          </cell>
          <cell r="C56">
            <v>1.4008416773116621</v>
          </cell>
          <cell r="D56">
            <v>3.3487247944254062</v>
          </cell>
          <cell r="E56">
            <v>4.5363656319100052</v>
          </cell>
          <cell r="F56">
            <v>4.5363770955626155</v>
          </cell>
          <cell r="G56">
            <v>4.9458397416121844</v>
          </cell>
        </row>
        <row r="57">
          <cell r="B57">
            <v>6.9177358865685479</v>
          </cell>
          <cell r="C57">
            <v>6.3104188794499585</v>
          </cell>
          <cell r="D57">
            <v>6.1927800268811817</v>
          </cell>
          <cell r="E57">
            <v>3.8671455050492973</v>
          </cell>
          <cell r="F57">
            <v>2.7774973279268735</v>
          </cell>
          <cell r="G57">
            <v>1.5158823184863814</v>
          </cell>
        </row>
        <row r="58">
          <cell r="B58">
            <v>1.8458295226661297</v>
          </cell>
          <cell r="C58">
            <v>0.85954855250134909</v>
          </cell>
          <cell r="D58">
            <v>1.4536482448531091E-2</v>
          </cell>
          <cell r="E58">
            <v>5.05154727749957E-6</v>
          </cell>
          <cell r="F58">
            <v>4.3003392729954517E-4</v>
          </cell>
          <cell r="G58">
            <v>0</v>
          </cell>
        </row>
        <row r="59">
          <cell r="B59">
            <v>28.619789461192788</v>
          </cell>
          <cell r="C59">
            <v>24.451693977548299</v>
          </cell>
          <cell r="D59">
            <v>24.774321886299404</v>
          </cell>
          <cell r="E59">
            <v>9.8281653781179656</v>
          </cell>
          <cell r="F59">
            <v>4.3948531768522141</v>
          </cell>
          <cell r="G59">
            <v>2.2736637696590143</v>
          </cell>
        </row>
        <row r="60">
          <cell r="B60">
            <v>0</v>
          </cell>
          <cell r="C60">
            <v>0</v>
          </cell>
          <cell r="D60">
            <v>3.0460893840423896E-2</v>
          </cell>
          <cell r="E60">
            <v>2.7539927725635746E-5</v>
          </cell>
          <cell r="F60">
            <v>1.2865258241037965E-2</v>
          </cell>
          <cell r="G60">
            <v>4.5972694871145359E-2</v>
          </cell>
        </row>
        <row r="61">
          <cell r="B61">
            <v>2.3674083984397276</v>
          </cell>
          <cell r="C61">
            <v>2.3075030603349513</v>
          </cell>
          <cell r="D61">
            <v>2.6269849449477807E-2</v>
          </cell>
          <cell r="E61">
            <v>5.2556633237286512E-6</v>
          </cell>
          <cell r="F61">
            <v>3.8245057430764257E-4</v>
          </cell>
          <cell r="G61">
            <v>9.2896640675143964E-4</v>
          </cell>
        </row>
        <row r="62">
          <cell r="B62">
            <v>5.1851163771306954</v>
          </cell>
          <cell r="C62">
            <v>5.5676011227191822</v>
          </cell>
          <cell r="D62">
            <v>5.6488662993985574</v>
          </cell>
          <cell r="E62">
            <v>6.5575985178585006</v>
          </cell>
          <cell r="F62">
            <v>10.33056766760869</v>
          </cell>
          <cell r="G62">
            <v>12.434913780185063</v>
          </cell>
        </row>
        <row r="63">
          <cell r="B63">
            <v>6.5823332154504781</v>
          </cell>
          <cell r="C63">
            <v>7.0678582087730586</v>
          </cell>
          <cell r="D63">
            <v>6.780619572470866</v>
          </cell>
          <cell r="E63">
            <v>5.536059041564962</v>
          </cell>
          <cell r="F63">
            <v>4.9054074737291939</v>
          </cell>
          <cell r="G63">
            <v>6.236812978003865</v>
          </cell>
        </row>
        <row r="64">
          <cell r="B64">
            <v>5.3111364704420101</v>
          </cell>
          <cell r="C64">
            <v>6.2669431844067498</v>
          </cell>
          <cell r="D64">
            <v>5.7760688042066208</v>
          </cell>
          <cell r="E64">
            <v>5.2280991136798249</v>
          </cell>
          <cell r="F64">
            <v>6.7222757561876518</v>
          </cell>
          <cell r="G64">
            <v>4.1216407845461251</v>
          </cell>
        </row>
        <row r="65">
          <cell r="B65">
            <v>0.4615290504604127</v>
          </cell>
          <cell r="C65">
            <v>0.54457801726430388</v>
          </cell>
          <cell r="D65">
            <v>0.54458126003005547</v>
          </cell>
          <cell r="E65">
            <v>0.54457942424147043</v>
          </cell>
          <cell r="F65">
            <v>0.5528601360761054</v>
          </cell>
          <cell r="G65">
            <v>0.5535288671534403</v>
          </cell>
        </row>
        <row r="66">
          <cell r="B66">
            <v>4.1173734464920395</v>
          </cell>
          <cell r="C66">
            <v>4.2663807136016025</v>
          </cell>
          <cell r="D66">
            <v>2.9612196107854785</v>
          </cell>
          <cell r="E66">
            <v>3.0228344219705865</v>
          </cell>
          <cell r="F66">
            <v>0.11467493076270416</v>
          </cell>
          <cell r="G66">
            <v>2.0066920568562827E-3</v>
          </cell>
        </row>
        <row r="67">
          <cell r="B67">
            <v>6.7704679886547492E-2</v>
          </cell>
          <cell r="C67">
            <v>8.5522872062227848E-2</v>
          </cell>
          <cell r="D67">
            <v>1.520889332072942</v>
          </cell>
          <cell r="E67">
            <v>2.3297968911711315</v>
          </cell>
          <cell r="F67">
            <v>0.87121893147543927</v>
          </cell>
          <cell r="G67">
            <v>1.4457802653556746</v>
          </cell>
        </row>
        <row r="68">
          <cell r="B68">
            <v>0.31052737609639974</v>
          </cell>
          <cell r="C68">
            <v>0.39252218788291526</v>
          </cell>
          <cell r="D68">
            <v>1.5810259931371171</v>
          </cell>
          <cell r="E68">
            <v>1.581518889591373</v>
          </cell>
          <cell r="F68">
            <v>1.5820018931301087</v>
          </cell>
          <cell r="G68">
            <v>2.7197615656002845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3.5616100530849142</v>
          </cell>
          <cell r="G69">
            <v>4.3876195774192484</v>
          </cell>
        </row>
        <row r="70">
          <cell r="B70">
            <v>0</v>
          </cell>
          <cell r="C70">
            <v>4.2560758177002889</v>
          </cell>
          <cell r="D70">
            <v>4.2570125984093652</v>
          </cell>
          <cell r="E70">
            <v>21.357872071518464</v>
          </cell>
          <cell r="F70">
            <v>24.843827126877628</v>
          </cell>
          <cell r="G70">
            <v>24.997175003693368</v>
          </cell>
        </row>
        <row r="71">
          <cell r="B71">
            <v>72.708782877557681</v>
          </cell>
          <cell r="C71">
            <v>74.112583998399444</v>
          </cell>
          <cell r="D71">
            <v>75.747222427666017</v>
          </cell>
          <cell r="E71">
            <v>76.679929035471346</v>
          </cell>
          <cell r="F71">
            <v>77.496702893360009</v>
          </cell>
          <cell r="G71">
            <v>77.971378455776019</v>
          </cell>
        </row>
      </sheetData>
      <sheetData sheetId="45">
        <row r="3">
          <cell r="B3">
            <v>56.994774574912441</v>
          </cell>
          <cell r="C3">
            <v>58.701906959036592</v>
          </cell>
          <cell r="D3">
            <v>54.636978649676877</v>
          </cell>
          <cell r="E3">
            <v>51.222413868190323</v>
          </cell>
          <cell r="F3">
            <v>45.17516098824855</v>
          </cell>
          <cell r="G3">
            <v>39.517982948063647</v>
          </cell>
        </row>
        <row r="6">
          <cell r="B6">
            <v>0</v>
          </cell>
          <cell r="C6">
            <v>9.1176434220067843</v>
          </cell>
          <cell r="D6">
            <v>2.4321443639703211</v>
          </cell>
          <cell r="E6">
            <v>5.4062601437184137</v>
          </cell>
          <cell r="F6">
            <v>10.163684706858835</v>
          </cell>
          <cell r="G6">
            <v>15.166308524133397</v>
          </cell>
        </row>
        <row r="11">
          <cell r="B11">
            <v>60.950072094190105</v>
          </cell>
          <cell r="C11">
            <v>60.173500473727046</v>
          </cell>
          <cell r="D11">
            <v>57.761622759507205</v>
          </cell>
          <cell r="E11">
            <v>56.317424583744298</v>
          </cell>
          <cell r="F11">
            <v>51.889709138903306</v>
          </cell>
          <cell r="G11">
            <v>45.265439890244338</v>
          </cell>
        </row>
        <row r="12">
          <cell r="B12">
            <v>30.256649765192773</v>
          </cell>
          <cell r="C12">
            <v>27.843523212539019</v>
          </cell>
          <cell r="D12">
            <v>24.380745093243039</v>
          </cell>
          <cell r="E12">
            <v>12.216470116299794</v>
          </cell>
          <cell r="F12">
            <v>2.299464695575534</v>
          </cell>
          <cell r="G12">
            <v>1.1941885575597483E-4</v>
          </cell>
        </row>
        <row r="13">
          <cell r="B13">
            <v>0</v>
          </cell>
          <cell r="C13">
            <v>0</v>
          </cell>
          <cell r="D13">
            <v>2.3917261083120189E-3</v>
          </cell>
          <cell r="E13">
            <v>4.9800789016363565E-3</v>
          </cell>
          <cell r="F13">
            <v>4.3385503754085576E-3</v>
          </cell>
          <cell r="G13">
            <v>7.6616809165928612E-2</v>
          </cell>
        </row>
        <row r="14">
          <cell r="B14">
            <v>25.267599374419571</v>
          </cell>
          <cell r="C14">
            <v>24.969868985163082</v>
          </cell>
          <cell r="D14">
            <v>21.9970278035515</v>
          </cell>
          <cell r="E14">
            <v>14.374205886416901</v>
          </cell>
          <cell r="F14">
            <v>6.9881247213024471</v>
          </cell>
          <cell r="G14">
            <v>4.8789503219816019</v>
          </cell>
        </row>
        <row r="15">
          <cell r="B15">
            <v>0.28110502302893514</v>
          </cell>
          <cell r="C15">
            <v>0.58469369547618533</v>
          </cell>
          <cell r="D15">
            <v>0.45774129203620811</v>
          </cell>
          <cell r="E15">
            <v>1.9681056665476384</v>
          </cell>
          <cell r="F15">
            <v>0.52800796113796933</v>
          </cell>
          <cell r="G15">
            <v>3.493894394362337E-3</v>
          </cell>
        </row>
        <row r="16">
          <cell r="B16">
            <v>1.4022932437773812</v>
          </cell>
          <cell r="C16">
            <v>1.5372366365118895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>
            <v>7.726945086304486</v>
          </cell>
          <cell r="C17">
            <v>8.3697518716029364</v>
          </cell>
          <cell r="D17">
            <v>6.7756275836740061</v>
          </cell>
          <cell r="E17">
            <v>6.9260516407518438</v>
          </cell>
          <cell r="F17">
            <v>7.9556138527879359</v>
          </cell>
          <cell r="G17">
            <v>8.3589159155738049</v>
          </cell>
        </row>
        <row r="19">
          <cell r="B19">
            <v>0.62701025081300255</v>
          </cell>
          <cell r="C19">
            <v>0.68736128311886568</v>
          </cell>
          <cell r="D19">
            <v>0.55677494901205493</v>
          </cell>
          <cell r="E19">
            <v>0.92852220404809971</v>
          </cell>
          <cell r="F19">
            <v>1.5523217784657086</v>
          </cell>
          <cell r="G19">
            <v>1.7305924918011397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1.1279703235095692E-3</v>
          </cell>
          <cell r="F20">
            <v>1.3485362601155157E-3</v>
          </cell>
          <cell r="G20">
            <v>1.4252970246379126E-2</v>
          </cell>
        </row>
        <row r="21">
          <cell r="B21">
            <v>2.9296357281562493</v>
          </cell>
          <cell r="C21">
            <v>3.1924806028155408</v>
          </cell>
          <cell r="D21">
            <v>5.1868630497665364</v>
          </cell>
          <cell r="E21">
            <v>13.205913431554901</v>
          </cell>
          <cell r="F21">
            <v>20.996434746716272</v>
          </cell>
          <cell r="G21">
            <v>19.560315049812488</v>
          </cell>
        </row>
        <row r="28">
          <cell r="B28">
            <v>3.9552975192776598</v>
          </cell>
          <cell r="C28">
            <v>1.4715935146904582</v>
          </cell>
          <cell r="D28">
            <v>3.1246441098303235</v>
          </cell>
          <cell r="E28">
            <v>5.0950107155539719</v>
          </cell>
          <cell r="F28">
            <v>6.7145481506547533</v>
          </cell>
          <cell r="G28">
            <v>5.7474569421806923</v>
          </cell>
        </row>
        <row r="47">
          <cell r="B47">
            <v>4.2612883318636356</v>
          </cell>
          <cell r="C47">
            <v>4.617695157643908</v>
          </cell>
          <cell r="D47">
            <v>6.2557172681625257</v>
          </cell>
          <cell r="E47">
            <v>15.1126810256429</v>
          </cell>
          <cell r="F47">
            <v>23.154411832782866</v>
          </cell>
          <cell r="G47">
            <v>21.454073445012551</v>
          </cell>
        </row>
        <row r="48">
          <cell r="B48">
            <v>24.843082527793097</v>
          </cell>
          <cell r="C48">
            <v>22.906987088708437</v>
          </cell>
          <cell r="D48">
            <v>19.220258719932175</v>
          </cell>
          <cell r="E48">
            <v>9.98060342119037</v>
          </cell>
          <cell r="F48">
            <v>1.8813926490749429</v>
          </cell>
          <cell r="G48">
            <v>6.311766907788631E-2</v>
          </cell>
        </row>
        <row r="49">
          <cell r="B49">
            <v>24.18973075928638</v>
          </cell>
          <cell r="C49">
            <v>24.195277431669112</v>
          </cell>
          <cell r="D49">
            <v>18.183542754877003</v>
          </cell>
          <cell r="E49">
            <v>12.050332480431603</v>
          </cell>
          <cell r="F49">
            <v>3.5091992053301171</v>
          </cell>
          <cell r="G49">
            <v>2.0241291762025888</v>
          </cell>
        </row>
        <row r="50">
          <cell r="B50">
            <v>0</v>
          </cell>
          <cell r="C50">
            <v>0</v>
          </cell>
          <cell r="D50">
            <v>2.1257415713904337</v>
          </cell>
          <cell r="E50">
            <v>5.0215015118933648</v>
          </cell>
          <cell r="F50">
            <v>7.6363785442623966</v>
          </cell>
          <cell r="G50">
            <v>6.1571698704810043</v>
          </cell>
        </row>
        <row r="51">
          <cell r="B51">
            <v>2.09575273232171</v>
          </cell>
          <cell r="C51">
            <v>2.2701037559700898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5.553922903119731</v>
          </cell>
          <cell r="C52">
            <v>6.0159505969168121</v>
          </cell>
          <cell r="D52">
            <v>5.5804921272422003</v>
          </cell>
          <cell r="E52">
            <v>5.7148663010561327</v>
          </cell>
          <cell r="F52">
            <v>6.5643850016945278</v>
          </cell>
          <cell r="G52">
            <v>6.8971600786518277</v>
          </cell>
        </row>
        <row r="53">
          <cell r="B53">
            <v>6.1735566368711909</v>
          </cell>
          <cell r="C53">
            <v>5.2213545214492934</v>
          </cell>
          <cell r="D53">
            <v>6.490380314105372</v>
          </cell>
          <cell r="E53">
            <v>5.5667075798064225</v>
          </cell>
          <cell r="F53">
            <v>2.8657650245865813</v>
          </cell>
          <cell r="G53">
            <v>1.2274480929644662</v>
          </cell>
        </row>
        <row r="54">
          <cell r="B54">
            <v>1.8770823671121519</v>
          </cell>
          <cell r="C54">
            <v>2.1600892324823331</v>
          </cell>
          <cell r="D54">
            <v>0.18843232166549301</v>
          </cell>
          <cell r="E54">
            <v>0.16724020938151879</v>
          </cell>
          <cell r="F54">
            <v>8.6762048108621204E-2</v>
          </cell>
          <cell r="G54">
            <v>3.0216269315554163E-2</v>
          </cell>
        </row>
        <row r="55">
          <cell r="B55">
            <v>0.62701025081300255</v>
          </cell>
          <cell r="C55">
            <v>0.68736128311886568</v>
          </cell>
          <cell r="D55">
            <v>0.55677494901205493</v>
          </cell>
          <cell r="E55">
            <v>0.92852220404809971</v>
          </cell>
          <cell r="F55">
            <v>1.5523217784657086</v>
          </cell>
          <cell r="G55">
            <v>1.7305924918011397</v>
          </cell>
        </row>
        <row r="56">
          <cell r="B56">
            <v>1.2230801672226319</v>
          </cell>
          <cell r="C56">
            <v>1.3407777943656694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9.1176434220067843</v>
          </cell>
          <cell r="D58">
            <v>2.4321443639703211</v>
          </cell>
          <cell r="E58">
            <v>5.4062601437184137</v>
          </cell>
          <cell r="F58">
            <v>10.163684706858835</v>
          </cell>
          <cell r="G58">
            <v>15.166308524133397</v>
          </cell>
        </row>
        <row r="59">
          <cell r="B59">
            <v>73.238582661861415</v>
          </cell>
          <cell r="C59">
            <v>78.5756770326051</v>
          </cell>
          <cell r="D59">
            <v>61.521006511535319</v>
          </cell>
          <cell r="E59">
            <v>60.236070605339911</v>
          </cell>
          <cell r="F59">
            <v>57.609131514689778</v>
          </cell>
          <cell r="G59">
            <v>54.884103530079088</v>
          </cell>
        </row>
      </sheetData>
      <sheetData sheetId="46">
        <row r="3">
          <cell r="B3">
            <v>44.576924536408704</v>
          </cell>
          <cell r="C3">
            <v>44.861193648329355</v>
          </cell>
          <cell r="D3">
            <v>47.868085695906885</v>
          </cell>
          <cell r="E3">
            <v>45.045211352487264</v>
          </cell>
          <cell r="F3">
            <v>40.582320118566521</v>
          </cell>
          <cell r="G3">
            <v>35.517433676088814</v>
          </cell>
        </row>
        <row r="10">
          <cell r="B10">
            <v>0.27195817224784413</v>
          </cell>
          <cell r="C10">
            <v>8.1316930219892392</v>
          </cell>
          <cell r="D10">
            <v>5.2984935081850129</v>
          </cell>
          <cell r="E10">
            <v>12.170978900848851</v>
          </cell>
          <cell r="F10">
            <v>22.258030625894524</v>
          </cell>
          <cell r="G10">
            <v>32.75277124681655</v>
          </cell>
        </row>
        <row r="15">
          <cell r="B15">
            <v>69.470237544012193</v>
          </cell>
          <cell r="C15">
            <v>68.640629118383927</v>
          </cell>
          <cell r="D15">
            <v>68.31201546237925</v>
          </cell>
          <cell r="E15">
            <v>68.188416239661564</v>
          </cell>
          <cell r="F15">
            <v>65.210553618750794</v>
          </cell>
          <cell r="G15">
            <v>56.184448369093488</v>
          </cell>
        </row>
        <row r="16">
          <cell r="B16">
            <v>60.231932098015747</v>
          </cell>
          <cell r="C16">
            <v>51.320065337172423</v>
          </cell>
          <cell r="D16">
            <v>47.350774520131694</v>
          </cell>
          <cell r="E16">
            <v>20.835642121837971</v>
          </cell>
          <cell r="F16">
            <v>2.8827681177521782</v>
          </cell>
          <cell r="G16">
            <v>1.1953405853064706E-4</v>
          </cell>
        </row>
        <row r="17">
          <cell r="B17">
            <v>0</v>
          </cell>
          <cell r="C17">
            <v>0</v>
          </cell>
          <cell r="D17">
            <v>2.4408122820996341E-3</v>
          </cell>
          <cell r="E17">
            <v>5.1614503541804659E-3</v>
          </cell>
          <cell r="F17">
            <v>4.5060592957404458E-3</v>
          </cell>
          <cell r="G17">
            <v>0.16016809631299614</v>
          </cell>
        </row>
        <row r="18">
          <cell r="B18">
            <v>46.70123652059678</v>
          </cell>
          <cell r="C18">
            <v>47.614146055145426</v>
          </cell>
          <cell r="D18">
            <v>44.421948586094118</v>
          </cell>
          <cell r="E18">
            <v>29.074002069883992</v>
          </cell>
          <cell r="F18">
            <v>14.387923159409233</v>
          </cell>
          <cell r="G18">
            <v>10.403661922597262</v>
          </cell>
        </row>
        <row r="19">
          <cell r="B19">
            <v>0.30079545414310782</v>
          </cell>
          <cell r="C19">
            <v>0.64632156410208363</v>
          </cell>
          <cell r="D19">
            <v>0.54015109367739633</v>
          </cell>
          <cell r="E19">
            <v>4.1321185841645391</v>
          </cell>
          <cell r="F19">
            <v>1.4598932921831782</v>
          </cell>
          <cell r="G19">
            <v>2.9274993507802864E-3</v>
          </cell>
        </row>
        <row r="20">
          <cell r="B20">
            <v>0.10000495692858771</v>
          </cell>
          <cell r="C20">
            <v>9.9996907875814334E-2</v>
          </cell>
          <cell r="D20">
            <v>2.5907366066176715E-2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8.2437447134882955</v>
          </cell>
          <cell r="C21">
            <v>9.6744643007845177</v>
          </cell>
          <cell r="D21">
            <v>9.9131498530746018</v>
          </cell>
          <cell r="E21">
            <v>9.8846672907201274</v>
          </cell>
          <cell r="F21">
            <v>11.346491807232223</v>
          </cell>
          <cell r="G21">
            <v>12.961840453712353</v>
          </cell>
        </row>
        <row r="22">
          <cell r="B22">
            <v>16.991303996892562</v>
          </cell>
          <cell r="C22">
            <v>18.760225246066199</v>
          </cell>
          <cell r="D22">
            <v>16.566498025245433</v>
          </cell>
          <cell r="E22">
            <v>13.265331262418764</v>
          </cell>
          <cell r="F22">
            <v>7.550402782443614</v>
          </cell>
          <cell r="G22">
            <v>3.2573273088277017</v>
          </cell>
        </row>
        <row r="23">
          <cell r="B23">
            <v>2.506840906536425</v>
          </cell>
          <cell r="C23">
            <v>2.9281421848169429</v>
          </cell>
          <cell r="D23">
            <v>1.0019096124830102</v>
          </cell>
          <cell r="E23">
            <v>1.7178505092654637</v>
          </cell>
          <cell r="F23">
            <v>2.8026138882180702</v>
          </cell>
          <cell r="G23">
            <v>3.2567565274933132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1.1760527553817603E-3</v>
          </cell>
          <cell r="F24">
            <v>2.7105728840674816E-3</v>
          </cell>
          <cell r="G24">
            <v>2.9271845804528018E-2</v>
          </cell>
        </row>
        <row r="25">
          <cell r="B25">
            <v>15.195102961550775</v>
          </cell>
          <cell r="C25">
            <v>17.642808015152042</v>
          </cell>
          <cell r="D25">
            <v>26.900056142409944</v>
          </cell>
          <cell r="E25">
            <v>46.019278533141289</v>
          </cell>
          <cell r="F25">
            <v>61.431800966636111</v>
          </cell>
          <cell r="G25">
            <v>58.367025129692536</v>
          </cell>
        </row>
        <row r="26">
          <cell r="B26">
            <v>219.74119915216448</v>
          </cell>
          <cell r="C26">
            <v>217.32679872949939</v>
          </cell>
          <cell r="D26">
            <v>215.03485147384373</v>
          </cell>
          <cell r="E26">
            <v>193.12364411420324</v>
          </cell>
          <cell r="F26">
            <v>167.07966426480522</v>
          </cell>
          <cell r="G26">
            <v>144.62354668694348</v>
          </cell>
        </row>
        <row r="102">
          <cell r="B102">
            <v>8.9080896762849786</v>
          </cell>
          <cell r="C102">
            <v>6.5615851841873356</v>
          </cell>
          <cell r="D102">
            <v>0.81156412094701791</v>
          </cell>
          <cell r="E102">
            <v>0.14453508810008864</v>
          </cell>
          <cell r="F102">
            <v>1.1244535178803271E-2</v>
          </cell>
          <cell r="G102">
            <v>6.4409412156573344E-3</v>
          </cell>
        </row>
        <row r="104">
          <cell r="B104">
            <v>19.060458933493621</v>
          </cell>
          <cell r="C104">
            <v>22.080934852101326</v>
          </cell>
          <cell r="D104">
            <v>33.15991127128202</v>
          </cell>
          <cell r="E104">
            <v>50.515840149419986</v>
          </cell>
          <cell r="F104">
            <v>60.571915444447129</v>
          </cell>
          <cell r="G104">
            <v>53.892197834843032</v>
          </cell>
        </row>
        <row r="105">
          <cell r="B105">
            <v>45.124448493635228</v>
          </cell>
          <cell r="C105">
            <v>39.021346620644437</v>
          </cell>
          <cell r="D105">
            <v>32.870467114076177</v>
          </cell>
          <cell r="E105">
            <v>15.140400144898743</v>
          </cell>
          <cell r="F105">
            <v>1.9112956167060509</v>
          </cell>
          <cell r="G105">
            <v>0.11625267755570057</v>
          </cell>
        </row>
        <row r="106">
          <cell r="B106">
            <v>36.569986716549892</v>
          </cell>
          <cell r="C106">
            <v>38.866039734223747</v>
          </cell>
          <cell r="D106">
            <v>30.703025813275456</v>
          </cell>
          <cell r="E106">
            <v>20.871393977564633</v>
          </cell>
          <cell r="F106">
            <v>5.6761206484449227</v>
          </cell>
          <cell r="G106">
            <v>3.1154769293575333</v>
          </cell>
        </row>
        <row r="107">
          <cell r="B107">
            <v>0</v>
          </cell>
          <cell r="C107">
            <v>0</v>
          </cell>
          <cell r="D107">
            <v>3.8683038949361856</v>
          </cell>
          <cell r="E107">
            <v>8.2708173422518243</v>
          </cell>
          <cell r="F107">
            <v>11.880794373502656</v>
          </cell>
          <cell r="G107">
            <v>9.409173691301385</v>
          </cell>
        </row>
        <row r="108">
          <cell r="B108">
            <v>7.2003568988583122E-2</v>
          </cell>
          <cell r="C108">
            <v>7.1997773670586407E-2</v>
          </cell>
          <cell r="D108">
            <v>2.0676142136182289E-2</v>
          </cell>
          <cell r="E108">
            <v>0</v>
          </cell>
          <cell r="F108">
            <v>0</v>
          </cell>
          <cell r="G108">
            <v>0</v>
          </cell>
        </row>
        <row r="109">
          <cell r="B109">
            <v>8.6436502875236035E-2</v>
          </cell>
          <cell r="C109">
            <v>7.8628196965861725E-3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B110">
            <v>6.3814281297946689</v>
          </cell>
          <cell r="C110">
            <v>7.6932306846442504</v>
          </cell>
          <cell r="D110">
            <v>6.9121848078079964</v>
          </cell>
          <cell r="E110">
            <v>6.8137743408013192</v>
          </cell>
          <cell r="F110">
            <v>7.5342020237068246</v>
          </cell>
          <cell r="G110">
            <v>8.099639234928004</v>
          </cell>
        </row>
        <row r="111">
          <cell r="B111">
            <v>9.1310995011196319</v>
          </cell>
          <cell r="C111">
            <v>9.8882899516775797</v>
          </cell>
          <cell r="D111">
            <v>9.8843464444971634</v>
          </cell>
          <cell r="E111">
            <v>7.8799023453159354</v>
          </cell>
          <cell r="F111">
            <v>4.3838184005690843</v>
          </cell>
          <cell r="G111">
            <v>1.9094873868975974</v>
          </cell>
        </row>
        <row r="112">
          <cell r="B112">
            <v>2.6969126253983586</v>
          </cell>
          <cell r="C112">
            <v>3.1682308106899644</v>
          </cell>
          <cell r="D112">
            <v>0.18594376528954387</v>
          </cell>
          <cell r="E112">
            <v>0.16075944687357122</v>
          </cell>
          <cell r="F112">
            <v>9.2785600666068113E-2</v>
          </cell>
          <cell r="G112">
            <v>3.5533800834103332E-2</v>
          </cell>
        </row>
        <row r="113">
          <cell r="B113">
            <v>0.78535288187657393</v>
          </cell>
          <cell r="C113">
            <v>0.94135872023576694</v>
          </cell>
          <cell r="D113">
            <v>3.2123633358511719E-2</v>
          </cell>
          <cell r="E113">
            <v>5.2369925472642923E-2</v>
          </cell>
          <cell r="F113">
            <v>7.1414311816762208E-2</v>
          </cell>
          <cell r="G113">
            <v>7.281443091330364E-2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129.08817520226464</v>
          </cell>
          <cell r="C116">
            <v>136.43257017376081</v>
          </cell>
          <cell r="D116">
            <v>123.74704051579128</v>
          </cell>
          <cell r="E116">
            <v>122.02077166154761</v>
          </cell>
          <cell r="F116">
            <v>114.39162158093282</v>
          </cell>
          <cell r="G116">
            <v>109.40978817466286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26.978564105361908</v>
          </cell>
          <cell r="C224">
            <v>25.933629267133075</v>
          </cell>
          <cell r="D224">
            <v>21.250248230251746</v>
          </cell>
          <cell r="E224">
            <v>22.164917378045423</v>
          </cell>
          <cell r="F224">
            <v>26.241106276335408</v>
          </cell>
          <cell r="G224">
            <v>26.859994803997992</v>
          </cell>
        </row>
        <row r="231">
          <cell r="B231">
            <v>15.552828195384315</v>
          </cell>
          <cell r="C231">
            <v>13.530304193135715</v>
          </cell>
          <cell r="D231">
            <v>3.568224707510899</v>
          </cell>
          <cell r="E231">
            <v>2.0613229101169717</v>
          </cell>
          <cell r="F231">
            <v>1.5984890937599932</v>
          </cell>
          <cell r="G231">
            <v>1.3734440352124759</v>
          </cell>
        </row>
        <row r="233">
          <cell r="B233">
            <v>22.300418051220234</v>
          </cell>
          <cell r="C233">
            <v>25.716424074816768</v>
          </cell>
          <cell r="D233">
            <v>38.304607035195488</v>
          </cell>
          <cell r="E233">
            <v>59.44822143459556</v>
          </cell>
          <cell r="F233">
            <v>73.824164830646936</v>
          </cell>
          <cell r="G233">
            <v>68.211378739502777</v>
          </cell>
        </row>
        <row r="234">
          <cell r="B234">
            <v>52.108937246390276</v>
          </cell>
          <cell r="C234">
            <v>44.567479997372473</v>
          </cell>
          <cell r="D234">
            <v>37.185065305923544</v>
          </cell>
          <cell r="E234">
            <v>16.957628031755718</v>
          </cell>
          <cell r="F234">
            <v>2.2943101727105115</v>
          </cell>
          <cell r="G234">
            <v>0.13168546276759005</v>
          </cell>
        </row>
        <row r="235">
          <cell r="B235">
            <v>42.950468552960167</v>
          </cell>
          <cell r="C235">
            <v>44.407070256394562</v>
          </cell>
          <cell r="D235">
            <v>35.657679652261194</v>
          </cell>
          <cell r="E235">
            <v>23.926961705216183</v>
          </cell>
          <cell r="F235">
            <v>6.9369363587721651</v>
          </cell>
          <cell r="G235">
            <v>3.9048699179795046</v>
          </cell>
        </row>
        <row r="236">
          <cell r="B236">
            <v>0</v>
          </cell>
          <cell r="C236">
            <v>0</v>
          </cell>
          <cell r="D236">
            <v>4.736765581751949</v>
          </cell>
          <cell r="E236">
            <v>10.864391460933366</v>
          </cell>
          <cell r="F236">
            <v>16.591101564099851</v>
          </cell>
          <cell r="G236">
            <v>13.93492457790145</v>
          </cell>
        </row>
        <row r="238">
          <cell r="B238">
            <v>0.10403851376926124</v>
          </cell>
          <cell r="C238">
            <v>9.3569407683408729E-3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</row>
        <row r="239">
          <cell r="B239">
            <v>7.6809481673211515</v>
          </cell>
          <cell r="C239">
            <v>9.1551258468578123</v>
          </cell>
          <cell r="D239">
            <v>8.0844981935575628</v>
          </cell>
          <cell r="E239">
            <v>8.0534931878382476</v>
          </cell>
          <cell r="F239">
            <v>9.202735895007681</v>
          </cell>
          <cell r="G239">
            <v>10.417335866348326</v>
          </cell>
        </row>
        <row r="240">
          <cell r="B240">
            <v>9.6515857076401996</v>
          </cell>
          <cell r="C240">
            <v>10.485534261230386</v>
          </cell>
          <cell r="D240">
            <v>10.916063036302599</v>
          </cell>
          <cell r="E240">
            <v>8.7897729649738512</v>
          </cell>
          <cell r="F240">
            <v>5.0087775724155561</v>
          </cell>
          <cell r="G240">
            <v>2.2422023032439715</v>
          </cell>
        </row>
        <row r="241">
          <cell r="B241">
            <v>2.8667122251680643</v>
          </cell>
          <cell r="C241">
            <v>3.3630708898410706</v>
          </cell>
          <cell r="D241">
            <v>0.22330597073556574</v>
          </cell>
          <cell r="E241">
            <v>0.1950679340488084</v>
          </cell>
          <cell r="F241">
            <v>0.11556785574294348</v>
          </cell>
          <cell r="G241">
            <v>4.4414301394899609E-2</v>
          </cell>
        </row>
        <row r="242">
          <cell r="B242">
            <v>2.506840906536425</v>
          </cell>
          <cell r="C242">
            <v>2.9281421848169429</v>
          </cell>
          <cell r="D242">
            <v>1.0019096124830102</v>
          </cell>
          <cell r="E242">
            <v>1.7178505092654637</v>
          </cell>
          <cell r="F242">
            <v>2.8026138882180702</v>
          </cell>
          <cell r="G242">
            <v>3.2567565274933132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0.27195817224784413</v>
          </cell>
          <cell r="C244">
            <v>8.1316930219892392</v>
          </cell>
          <cell r="D244">
            <v>5.2984935081850129</v>
          </cell>
          <cell r="E244">
            <v>12.170978900848851</v>
          </cell>
          <cell r="F244">
            <v>22.258030625894524</v>
          </cell>
          <cell r="G244">
            <v>32.75277124681655</v>
          </cell>
        </row>
        <row r="245">
          <cell r="B245">
            <v>156.06673930762653</v>
          </cell>
          <cell r="C245">
            <v>162.36619944089387</v>
          </cell>
          <cell r="D245">
            <v>144.99728874604301</v>
          </cell>
          <cell r="E245">
            <v>144.18568903959306</v>
          </cell>
          <cell r="F245">
            <v>140.63272785726824</v>
          </cell>
          <cell r="G245">
            <v>136.26978297866086</v>
          </cell>
        </row>
      </sheetData>
      <sheetData sheetId="47">
        <row r="21">
          <cell r="B21">
            <v>77.471944196532007</v>
          </cell>
          <cell r="C21">
            <v>78.229647853582861</v>
          </cell>
          <cell r="D21">
            <v>71.213786800078822</v>
          </cell>
          <cell r="E21">
            <v>24.698473759233018</v>
          </cell>
          <cell r="F21">
            <v>10.855457746279882</v>
          </cell>
          <cell r="G21">
            <v>1.0151800254451171</v>
          </cell>
        </row>
        <row r="22">
          <cell r="B22">
            <v>119.23207699584437</v>
          </cell>
          <cell r="C22">
            <v>109.21042291866186</v>
          </cell>
          <cell r="D22">
            <v>85.862055903135186</v>
          </cell>
          <cell r="E22">
            <v>41.034583110680735</v>
          </cell>
          <cell r="F22">
            <v>41.41666848956023</v>
          </cell>
          <cell r="G22">
            <v>6.510476241822901</v>
          </cell>
        </row>
        <row r="24">
          <cell r="B24">
            <v>0.269664814734077</v>
          </cell>
          <cell r="C24">
            <v>0.17374886959352101</v>
          </cell>
          <cell r="D24">
            <v>0.22315563356453108</v>
          </cell>
          <cell r="E24">
            <v>7.6795617620711359E-3</v>
          </cell>
          <cell r="F24">
            <v>7.4978592651919803E-3</v>
          </cell>
          <cell r="G24">
            <v>3.2024800322036128E-3</v>
          </cell>
        </row>
        <row r="25">
          <cell r="B25">
            <v>4.4866617534933697</v>
          </cell>
          <cell r="C25">
            <v>4.53163904914613</v>
          </cell>
          <cell r="D25">
            <v>4.127036709159202</v>
          </cell>
          <cell r="E25">
            <v>7.3348627645161608</v>
          </cell>
          <cell r="F25">
            <v>5.5003695113081443</v>
          </cell>
          <cell r="G25">
            <v>3.7512212082212093</v>
          </cell>
        </row>
        <row r="26">
          <cell r="B26">
            <v>2.9709444192319041</v>
          </cell>
          <cell r="C26">
            <v>2.9709356605148369</v>
          </cell>
          <cell r="D26">
            <v>2.9709704215618915</v>
          </cell>
          <cell r="E26">
            <v>2.4271574857959193</v>
          </cell>
          <cell r="F26">
            <v>2.6572298432854415</v>
          </cell>
          <cell r="G26">
            <v>16.247819673905862</v>
          </cell>
        </row>
        <row r="27">
          <cell r="B27">
            <v>2.4423538260957216E-2</v>
          </cell>
          <cell r="C27">
            <v>1.7805107570125368E-2</v>
          </cell>
          <cell r="D27">
            <v>2.1846346774423316E-2</v>
          </cell>
          <cell r="E27">
            <v>1.6105086861198444E-3</v>
          </cell>
          <cell r="F27">
            <v>2.5778285267524549E-3</v>
          </cell>
          <cell r="G27">
            <v>1.1021424791338751E-3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0.20090855746624137</v>
          </cell>
          <cell r="F32">
            <v>9.8409634555642833E-2</v>
          </cell>
          <cell r="G32">
            <v>2.4486076021691234</v>
          </cell>
        </row>
      </sheetData>
      <sheetData sheetId="48">
        <row r="53">
          <cell r="B53">
            <v>2.5927101881488257</v>
          </cell>
          <cell r="C53">
            <v>2.3255852310582976</v>
          </cell>
          <cell r="D53">
            <v>2.3395641049166618</v>
          </cell>
          <cell r="E53">
            <v>2.2717817827137501</v>
          </cell>
          <cell r="F53">
            <v>2.2944886731326544</v>
          </cell>
          <cell r="G53">
            <v>2.3174091986732552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6.5012907703857961</v>
          </cell>
          <cell r="C55">
            <v>6.0171485092209478</v>
          </cell>
          <cell r="D55">
            <v>5.4765496696378086</v>
          </cell>
          <cell r="E55">
            <v>4.2008483845729323</v>
          </cell>
          <cell r="F55">
            <v>3.561982054067157</v>
          </cell>
          <cell r="G55">
            <v>3.0870890680969403</v>
          </cell>
        </row>
        <row r="56">
          <cell r="B56">
            <v>3.7989055847296798</v>
          </cell>
          <cell r="C56">
            <v>3.5959300588515197</v>
          </cell>
          <cell r="D56">
            <v>3.0777134546810903</v>
          </cell>
          <cell r="E56">
            <v>1.7290136040780288</v>
          </cell>
          <cell r="F56">
            <v>1.0029387716137721</v>
          </cell>
          <cell r="G56">
            <v>0.28057410012931283</v>
          </cell>
        </row>
        <row r="57">
          <cell r="B57">
            <v>7.1975658582995905</v>
          </cell>
          <cell r="C57">
            <v>6.5510913633158383</v>
          </cell>
          <cell r="D57">
            <v>6.0779723482413344</v>
          </cell>
          <cell r="E57">
            <v>3.2067407570758002</v>
          </cell>
          <cell r="F57">
            <v>1.1981526367460289</v>
          </cell>
          <cell r="G57">
            <v>0.7228938976311341</v>
          </cell>
        </row>
        <row r="58">
          <cell r="B58">
            <v>14.651074997922333</v>
          </cell>
          <cell r="C58">
            <v>14.096095344269557</v>
          </cell>
          <cell r="D58">
            <v>11.868662182836207</v>
          </cell>
          <cell r="E58">
            <v>5.0512102521719386</v>
          </cell>
          <cell r="F58">
            <v>4.027197090568289</v>
          </cell>
          <cell r="G58">
            <v>0.56055493657792821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-0.21113730650712537</v>
          </cell>
          <cell r="G59">
            <v>-2.8242662446368003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-0.67018712125217461</v>
          </cell>
          <cell r="G60">
            <v>-2.7619393622810384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-0.97128997954108798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-6.4850421857413584E-4</v>
          </cell>
          <cell r="G62">
            <v>-0.41063768140120627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-1.3381608844521778E-5</v>
          </cell>
          <cell r="G63">
            <v>-3.8893311805301615E-4</v>
          </cell>
        </row>
        <row r="77">
          <cell r="B77">
            <v>0</v>
          </cell>
          <cell r="C77">
            <v>0</v>
          </cell>
        </row>
        <row r="78">
          <cell r="B78">
            <v>0.8817693201199579</v>
          </cell>
          <cell r="C78">
            <v>0.56307725461526581</v>
          </cell>
        </row>
        <row r="79">
          <cell r="B79">
            <v>0</v>
          </cell>
          <cell r="C79">
            <v>6.405324554756298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6" x14ac:dyDescent="0.3"/>
  <cols>
    <col min="2" max="2" width="49.59765625" bestFit="1" customWidth="1"/>
    <col min="3" max="3" width="81.5" bestFit="1" customWidth="1"/>
    <col min="4" max="4" width="11.5" bestFit="1" customWidth="1"/>
  </cols>
  <sheetData>
    <row r="2" spans="2:5" x14ac:dyDescent="0.3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3">
      <c r="B3" t="s">
        <v>15</v>
      </c>
      <c r="C3" t="s">
        <v>359</v>
      </c>
      <c r="D3" t="s">
        <v>8</v>
      </c>
    </row>
    <row r="4" spans="2:5" x14ac:dyDescent="0.3">
      <c r="B4" t="s">
        <v>19</v>
      </c>
      <c r="C4" t="s">
        <v>360</v>
      </c>
      <c r="D4" t="s">
        <v>8</v>
      </c>
    </row>
    <row r="5" spans="2:5" x14ac:dyDescent="0.3">
      <c r="B5" t="s">
        <v>24</v>
      </c>
      <c r="C5" t="s">
        <v>361</v>
      </c>
      <c r="D5" t="s">
        <v>8</v>
      </c>
    </row>
    <row r="6" spans="2:5" x14ac:dyDescent="0.3">
      <c r="B6" t="s">
        <v>29</v>
      </c>
      <c r="C6" t="s">
        <v>362</v>
      </c>
      <c r="D6" t="s">
        <v>8</v>
      </c>
    </row>
    <row r="7" spans="2:5" x14ac:dyDescent="0.3">
      <c r="B7" t="s">
        <v>152</v>
      </c>
      <c r="C7" t="s">
        <v>363</v>
      </c>
      <c r="D7" t="s">
        <v>8</v>
      </c>
    </row>
    <row r="8" spans="2:5" x14ac:dyDescent="0.3">
      <c r="B8" t="s">
        <v>91</v>
      </c>
      <c r="C8" t="s">
        <v>364</v>
      </c>
      <c r="D8" t="s">
        <v>8</v>
      </c>
    </row>
    <row r="9" spans="2:5" x14ac:dyDescent="0.3">
      <c r="B9" t="s">
        <v>190</v>
      </c>
      <c r="C9" t="s">
        <v>365</v>
      </c>
      <c r="D9" t="s">
        <v>8</v>
      </c>
    </row>
    <row r="10" spans="2:5" x14ac:dyDescent="0.3">
      <c r="B10" t="s">
        <v>241</v>
      </c>
      <c r="C10" t="s">
        <v>366</v>
      </c>
      <c r="D10" t="s">
        <v>240</v>
      </c>
      <c r="E10" t="s">
        <v>369</v>
      </c>
    </row>
    <row r="11" spans="2:5" x14ac:dyDescent="0.3">
      <c r="B11" t="s">
        <v>296</v>
      </c>
      <c r="C11" t="s">
        <v>367</v>
      </c>
      <c r="D11" t="s">
        <v>240</v>
      </c>
      <c r="E11" t="s">
        <v>686</v>
      </c>
    </row>
    <row r="12" spans="2:5" x14ac:dyDescent="0.3">
      <c r="B12" t="s">
        <v>303</v>
      </c>
      <c r="C12" t="s">
        <v>371</v>
      </c>
      <c r="D12" t="s">
        <v>8</v>
      </c>
    </row>
    <row r="13" spans="2:5" x14ac:dyDescent="0.3">
      <c r="B13" t="s">
        <v>370</v>
      </c>
      <c r="C13" t="s">
        <v>372</v>
      </c>
      <c r="D13" t="s">
        <v>8</v>
      </c>
    </row>
    <row r="14" spans="2:5" x14ac:dyDescent="0.3">
      <c r="B14" t="s">
        <v>373</v>
      </c>
      <c r="C14" t="s">
        <v>374</v>
      </c>
      <c r="D14" t="s">
        <v>8</v>
      </c>
    </row>
    <row r="15" spans="2:5" x14ac:dyDescent="0.3">
      <c r="B15" t="s">
        <v>306</v>
      </c>
      <c r="C15" t="s">
        <v>375</v>
      </c>
      <c r="D15" t="s">
        <v>240</v>
      </c>
    </row>
    <row r="16" spans="2:5" x14ac:dyDescent="0.3">
      <c r="B16" t="s">
        <v>376</v>
      </c>
      <c r="C16" t="s">
        <v>377</v>
      </c>
      <c r="D16" t="s">
        <v>8</v>
      </c>
    </row>
    <row r="17" spans="2:5" x14ac:dyDescent="0.3">
      <c r="B17" t="s">
        <v>378</v>
      </c>
      <c r="C17" t="s">
        <v>379</v>
      </c>
      <c r="D17" t="s">
        <v>8</v>
      </c>
    </row>
    <row r="18" spans="2:5" x14ac:dyDescent="0.3">
      <c r="B18" t="s">
        <v>311</v>
      </c>
      <c r="C18" t="s">
        <v>380</v>
      </c>
      <c r="D18" t="s">
        <v>240</v>
      </c>
    </row>
    <row r="19" spans="2:5" x14ac:dyDescent="0.3">
      <c r="B19" t="s">
        <v>381</v>
      </c>
      <c r="C19" t="s">
        <v>382</v>
      </c>
      <c r="D19" t="s">
        <v>8</v>
      </c>
    </row>
    <row r="20" spans="2:5" x14ac:dyDescent="0.3">
      <c r="B20" t="s">
        <v>383</v>
      </c>
      <c r="C20" t="s">
        <v>384</v>
      </c>
      <c r="D20" t="s">
        <v>8</v>
      </c>
    </row>
    <row r="21" spans="2:5" x14ac:dyDescent="0.3">
      <c r="B21" t="s">
        <v>385</v>
      </c>
      <c r="C21" t="s">
        <v>386</v>
      </c>
      <c r="D21" t="s">
        <v>8</v>
      </c>
    </row>
    <row r="22" spans="2:5" x14ac:dyDescent="0.3">
      <c r="B22" t="s">
        <v>387</v>
      </c>
      <c r="C22" t="s">
        <v>387</v>
      </c>
      <c r="D22" t="s">
        <v>8</v>
      </c>
    </row>
    <row r="23" spans="2:5" x14ac:dyDescent="0.3">
      <c r="B23" t="s">
        <v>388</v>
      </c>
      <c r="C23" t="s">
        <v>389</v>
      </c>
      <c r="D23" t="s">
        <v>240</v>
      </c>
    </row>
    <row r="24" spans="2:5" x14ac:dyDescent="0.3">
      <c r="B24" t="s">
        <v>390</v>
      </c>
      <c r="C24" t="s">
        <v>390</v>
      </c>
      <c r="D24" t="s">
        <v>8</v>
      </c>
    </row>
    <row r="25" spans="2:5" x14ac:dyDescent="0.3">
      <c r="B25" t="s">
        <v>406</v>
      </c>
      <c r="C25" t="s">
        <v>407</v>
      </c>
      <c r="D25" t="s">
        <v>8</v>
      </c>
    </row>
    <row r="26" spans="2:5" x14ac:dyDescent="0.3">
      <c r="B26" t="s">
        <v>408</v>
      </c>
      <c r="C26" t="s">
        <v>416</v>
      </c>
      <c r="D26" t="s">
        <v>240</v>
      </c>
      <c r="E26" t="s">
        <v>417</v>
      </c>
    </row>
    <row r="27" spans="2:5" x14ac:dyDescent="0.3">
      <c r="B27" t="s">
        <v>424</v>
      </c>
      <c r="C27" t="s">
        <v>418</v>
      </c>
      <c r="D27" t="s">
        <v>8</v>
      </c>
      <c r="E27" t="s">
        <v>421</v>
      </c>
    </row>
    <row r="28" spans="2:5" x14ac:dyDescent="0.3">
      <c r="B28" t="s">
        <v>425</v>
      </c>
      <c r="C28" t="s">
        <v>419</v>
      </c>
      <c r="D28" t="s">
        <v>8</v>
      </c>
      <c r="E28" t="s">
        <v>420</v>
      </c>
    </row>
    <row r="29" spans="2:5" x14ac:dyDescent="0.3">
      <c r="B29" t="s">
        <v>426</v>
      </c>
      <c r="C29" t="s">
        <v>422</v>
      </c>
      <c r="D29" t="s">
        <v>8</v>
      </c>
      <c r="E29" t="s">
        <v>423</v>
      </c>
    </row>
    <row r="30" spans="2:5" x14ac:dyDescent="0.3">
      <c r="B30" t="s">
        <v>431</v>
      </c>
      <c r="C30" t="s">
        <v>432</v>
      </c>
      <c r="D30" t="s">
        <v>8</v>
      </c>
    </row>
    <row r="31" spans="2:5" x14ac:dyDescent="0.3">
      <c r="B31" t="s">
        <v>434</v>
      </c>
      <c r="C31" t="s">
        <v>435</v>
      </c>
      <c r="D31" t="s">
        <v>8</v>
      </c>
    </row>
    <row r="32" spans="2:5" x14ac:dyDescent="0.3">
      <c r="B32" t="s">
        <v>440</v>
      </c>
      <c r="C32" t="s">
        <v>441</v>
      </c>
      <c r="D32" t="s">
        <v>240</v>
      </c>
    </row>
    <row r="33" spans="2:5" x14ac:dyDescent="0.3">
      <c r="B33" t="s">
        <v>444</v>
      </c>
      <c r="C33" t="s">
        <v>444</v>
      </c>
      <c r="D33" t="s">
        <v>442</v>
      </c>
      <c r="E33" t="s">
        <v>447</v>
      </c>
    </row>
    <row r="34" spans="2:5" x14ac:dyDescent="0.3">
      <c r="B34" t="s">
        <v>474</v>
      </c>
      <c r="C34" t="s">
        <v>477</v>
      </c>
      <c r="D34" t="s">
        <v>8</v>
      </c>
      <c r="E34" t="s">
        <v>478</v>
      </c>
    </row>
    <row r="35" spans="2:5" x14ac:dyDescent="0.3">
      <c r="B35" t="s">
        <v>475</v>
      </c>
      <c r="C35" t="s">
        <v>479</v>
      </c>
      <c r="D35" t="s">
        <v>8</v>
      </c>
      <c r="E35" t="s">
        <v>478</v>
      </c>
    </row>
    <row r="36" spans="2:5" x14ac:dyDescent="0.3">
      <c r="B36" t="s">
        <v>476</v>
      </c>
      <c r="C36" t="s">
        <v>480</v>
      </c>
      <c r="D36" t="s">
        <v>240</v>
      </c>
    </row>
    <row r="37" spans="2:5" x14ac:dyDescent="0.3">
      <c r="B37" t="s">
        <v>496</v>
      </c>
      <c r="C37" t="s">
        <v>497</v>
      </c>
      <c r="D37" t="s">
        <v>8</v>
      </c>
      <c r="E37" t="s">
        <v>498</v>
      </c>
    </row>
    <row r="38" spans="2:5" x14ac:dyDescent="0.3">
      <c r="B38" t="s">
        <v>684</v>
      </c>
      <c r="C38" t="s">
        <v>685</v>
      </c>
      <c r="D38" t="s">
        <v>8</v>
      </c>
      <c r="E38" t="s">
        <v>498</v>
      </c>
    </row>
    <row r="39" spans="2:5" x14ac:dyDescent="0.3">
      <c r="B39" t="s">
        <v>687</v>
      </c>
      <c r="C39" t="s">
        <v>688</v>
      </c>
      <c r="D39" t="s">
        <v>240</v>
      </c>
      <c r="E39" t="s">
        <v>498</v>
      </c>
    </row>
    <row r="40" spans="2:5" x14ac:dyDescent="0.3">
      <c r="B40" t="s">
        <v>674</v>
      </c>
      <c r="C40" t="s">
        <v>675</v>
      </c>
      <c r="D40" t="s">
        <v>8</v>
      </c>
    </row>
    <row r="41" spans="2:5" x14ac:dyDescent="0.3">
      <c r="B41" t="s">
        <v>697</v>
      </c>
      <c r="C41" t="s">
        <v>698</v>
      </c>
      <c r="D41" t="s">
        <v>8</v>
      </c>
    </row>
    <row r="42" spans="2:5" x14ac:dyDescent="0.3">
      <c r="B42" t="s">
        <v>689</v>
      </c>
      <c r="C42" t="s">
        <v>690</v>
      </c>
      <c r="D42" t="s">
        <v>240</v>
      </c>
    </row>
    <row r="43" spans="2:5" x14ac:dyDescent="0.3">
      <c r="B43" t="s">
        <v>740</v>
      </c>
      <c r="C43" t="s">
        <v>741</v>
      </c>
      <c r="D43" t="s">
        <v>8</v>
      </c>
    </row>
    <row r="44" spans="2:5" x14ac:dyDescent="0.3">
      <c r="B44" t="s">
        <v>756</v>
      </c>
      <c r="C44" t="s">
        <v>757</v>
      </c>
      <c r="D44" t="s">
        <v>8</v>
      </c>
    </row>
    <row r="45" spans="2:5" x14ac:dyDescent="0.3">
      <c r="B45" t="s">
        <v>1092</v>
      </c>
      <c r="C45" t="s">
        <v>1126</v>
      </c>
      <c r="D45" t="s">
        <v>240</v>
      </c>
    </row>
    <row r="46" spans="2:5" x14ac:dyDescent="0.3">
      <c r="B46" t="s">
        <v>1237</v>
      </c>
      <c r="C46" t="s">
        <v>1127</v>
      </c>
      <c r="D46" t="s">
        <v>8</v>
      </c>
      <c r="E46" t="s">
        <v>1128</v>
      </c>
    </row>
    <row r="47" spans="2:5" x14ac:dyDescent="0.3">
      <c r="B47" t="s">
        <v>1129</v>
      </c>
      <c r="C47" t="s">
        <v>1130</v>
      </c>
      <c r="D47" t="s">
        <v>1132</v>
      </c>
    </row>
    <row r="48" spans="2:5" x14ac:dyDescent="0.3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3">
      <c r="B49" t="s">
        <v>1305</v>
      </c>
      <c r="C49" t="s">
        <v>1306</v>
      </c>
      <c r="D49" t="s">
        <v>8</v>
      </c>
    </row>
    <row r="50" spans="2:5" x14ac:dyDescent="0.3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3">
      <c r="B51" t="s">
        <v>1371</v>
      </c>
      <c r="C51" t="s">
        <v>1472</v>
      </c>
      <c r="D51" t="s">
        <v>1230</v>
      </c>
    </row>
    <row r="52" spans="2:5" x14ac:dyDescent="0.3">
      <c r="B52" t="s">
        <v>1395</v>
      </c>
      <c r="C52" t="s">
        <v>1395</v>
      </c>
      <c r="D52" t="s">
        <v>8</v>
      </c>
    </row>
    <row r="53" spans="2:5" x14ac:dyDescent="0.3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3">
      <c r="B54" t="s">
        <v>1394</v>
      </c>
      <c r="C54" t="s">
        <v>1471</v>
      </c>
      <c r="D54" t="s">
        <v>1230</v>
      </c>
    </row>
    <row r="55" spans="2:5" x14ac:dyDescent="0.3">
      <c r="B55" t="s">
        <v>1474</v>
      </c>
      <c r="C55" t="s">
        <v>1474</v>
      </c>
      <c r="D55" t="s">
        <v>8</v>
      </c>
    </row>
    <row r="56" spans="2:5" x14ac:dyDescent="0.3">
      <c r="B56" t="s">
        <v>1479</v>
      </c>
      <c r="C56" t="s">
        <v>1531</v>
      </c>
      <c r="D56" t="s">
        <v>1132</v>
      </c>
    </row>
    <row r="57" spans="2:5" x14ac:dyDescent="0.3">
      <c r="B57" t="s">
        <v>1481</v>
      </c>
      <c r="C57" t="s">
        <v>1487</v>
      </c>
      <c r="D57" t="s">
        <v>1230</v>
      </c>
    </row>
    <row r="58" spans="2:5" x14ac:dyDescent="0.3">
      <c r="B58" t="s">
        <v>1473</v>
      </c>
      <c r="C58" t="s">
        <v>1473</v>
      </c>
      <c r="D58" t="s">
        <v>8</v>
      </c>
    </row>
    <row r="59" spans="2:5" x14ac:dyDescent="0.3">
      <c r="B59" t="s">
        <v>1483</v>
      </c>
      <c r="C59" t="s">
        <v>1530</v>
      </c>
      <c r="D59" t="s">
        <v>1132</v>
      </c>
    </row>
    <row r="60" spans="2:5" x14ac:dyDescent="0.3">
      <c r="B60" t="s">
        <v>1485</v>
      </c>
      <c r="C60" t="s">
        <v>1535</v>
      </c>
      <c r="D60" t="s">
        <v>1230</v>
      </c>
    </row>
    <row r="61" spans="2:5" x14ac:dyDescent="0.3">
      <c r="B61" t="s">
        <v>1488</v>
      </c>
      <c r="C61" t="s">
        <v>1529</v>
      </c>
      <c r="D61" t="s">
        <v>8</v>
      </c>
    </row>
    <row r="62" spans="2:5" x14ac:dyDescent="0.3">
      <c r="B62" t="s">
        <v>1504</v>
      </c>
      <c r="C62" t="s">
        <v>1596</v>
      </c>
      <c r="D62" t="s">
        <v>1132</v>
      </c>
    </row>
    <row r="63" spans="2:5" x14ac:dyDescent="0.3">
      <c r="B63" t="s">
        <v>1519</v>
      </c>
      <c r="C63" t="s">
        <v>1534</v>
      </c>
      <c r="D63" t="s">
        <v>1230</v>
      </c>
    </row>
    <row r="64" spans="2:5" x14ac:dyDescent="0.3">
      <c r="B64" t="s">
        <v>1644</v>
      </c>
      <c r="C64" t="s">
        <v>1594</v>
      </c>
      <c r="D64" t="s">
        <v>8</v>
      </c>
    </row>
    <row r="65" spans="2:4" x14ac:dyDescent="0.3">
      <c r="B65" t="s">
        <v>1645</v>
      </c>
      <c r="C65" t="s">
        <v>1596</v>
      </c>
      <c r="D65" t="s">
        <v>1132</v>
      </c>
    </row>
    <row r="66" spans="2:4" x14ac:dyDescent="0.3">
      <c r="B66" t="s">
        <v>1646</v>
      </c>
      <c r="C66" t="s">
        <v>1595</v>
      </c>
      <c r="D66" t="s">
        <v>1230</v>
      </c>
    </row>
    <row r="67" spans="2:4" x14ac:dyDescent="0.3">
      <c r="B67" t="s">
        <v>1647</v>
      </c>
      <c r="C67" t="s">
        <v>1648</v>
      </c>
      <c r="D67" t="s">
        <v>8</v>
      </c>
    </row>
    <row r="68" spans="2:4" x14ac:dyDescent="0.3">
      <c r="B68" t="s">
        <v>1650</v>
      </c>
      <c r="C68" t="s">
        <v>1596</v>
      </c>
      <c r="D68" t="s">
        <v>1132</v>
      </c>
    </row>
    <row r="69" spans="2:4" x14ac:dyDescent="0.3">
      <c r="B69" t="s">
        <v>1651</v>
      </c>
      <c r="C69" t="s">
        <v>1649</v>
      </c>
      <c r="D69" t="s">
        <v>1230</v>
      </c>
    </row>
    <row r="70" spans="2:4" x14ac:dyDescent="0.3">
      <c r="B70" t="s">
        <v>1697</v>
      </c>
      <c r="C70" t="s">
        <v>1652</v>
      </c>
      <c r="D70" t="s">
        <v>8</v>
      </c>
    </row>
    <row r="71" spans="2:4" x14ac:dyDescent="0.3">
      <c r="B71" t="s">
        <v>1675</v>
      </c>
      <c r="C71" t="s">
        <v>1698</v>
      </c>
      <c r="D71" t="s">
        <v>1700</v>
      </c>
    </row>
    <row r="72" spans="2:4" x14ac:dyDescent="0.3">
      <c r="B72" t="s">
        <v>1686</v>
      </c>
      <c r="C72" t="s">
        <v>1699</v>
      </c>
      <c r="D72" t="s">
        <v>1701</v>
      </c>
    </row>
    <row r="73" spans="2:4" x14ac:dyDescent="0.3">
      <c r="B73" t="s">
        <v>1702</v>
      </c>
      <c r="C73" t="s">
        <v>1702</v>
      </c>
      <c r="D73" t="s">
        <v>442</v>
      </c>
    </row>
    <row r="74" spans="2:4" x14ac:dyDescent="0.3">
      <c r="B74" t="s">
        <v>1716</v>
      </c>
      <c r="C74" t="s">
        <v>1722</v>
      </c>
      <c r="D74" t="s">
        <v>442</v>
      </c>
    </row>
    <row r="75" spans="2:4" x14ac:dyDescent="0.3">
      <c r="B75" t="s">
        <v>1721</v>
      </c>
      <c r="C75" t="s">
        <v>1723</v>
      </c>
      <c r="D75" t="s">
        <v>8</v>
      </c>
    </row>
    <row r="76" spans="2:4" x14ac:dyDescent="0.3">
      <c r="B76" t="s">
        <v>1769</v>
      </c>
      <c r="C76" t="s">
        <v>1787</v>
      </c>
      <c r="D76" t="s">
        <v>8</v>
      </c>
    </row>
    <row r="77" spans="2:4" x14ac:dyDescent="0.3">
      <c r="B77" t="s">
        <v>1790</v>
      </c>
      <c r="C77" t="s">
        <v>1788</v>
      </c>
      <c r="D77" t="s">
        <v>1858</v>
      </c>
    </row>
    <row r="78" spans="2:4" x14ac:dyDescent="0.3">
      <c r="B78" t="s">
        <v>1857</v>
      </c>
      <c r="C78" t="s">
        <v>1860</v>
      </c>
      <c r="D78" t="s">
        <v>1859</v>
      </c>
    </row>
    <row r="79" spans="2:4" x14ac:dyDescent="0.3">
      <c r="B79" t="s">
        <v>1900</v>
      </c>
      <c r="C79" t="s">
        <v>1919</v>
      </c>
      <c r="D79" t="s">
        <v>1859</v>
      </c>
    </row>
    <row r="80" spans="2:4" x14ac:dyDescent="0.3">
      <c r="B80" t="s">
        <v>1901</v>
      </c>
      <c r="C80" t="s">
        <v>1920</v>
      </c>
      <c r="D80" t="s">
        <v>1859</v>
      </c>
    </row>
    <row r="81" spans="2:4" x14ac:dyDescent="0.3">
      <c r="B81" t="s">
        <v>1921</v>
      </c>
      <c r="C81" t="s">
        <v>1972</v>
      </c>
      <c r="D81" t="s">
        <v>1973</v>
      </c>
    </row>
    <row r="82" spans="2:4" x14ac:dyDescent="0.3">
      <c r="B82" t="s">
        <v>1974</v>
      </c>
      <c r="C82" t="s">
        <v>1975</v>
      </c>
      <c r="D82" t="s">
        <v>1976</v>
      </c>
    </row>
    <row r="83" spans="2:4" x14ac:dyDescent="0.3">
      <c r="B83" t="s">
        <v>1978</v>
      </c>
      <c r="C83" t="s">
        <v>1977</v>
      </c>
      <c r="D83" t="s">
        <v>1976</v>
      </c>
    </row>
    <row r="84" spans="2:4" x14ac:dyDescent="0.3">
      <c r="B84" t="s">
        <v>2122</v>
      </c>
      <c r="C84" t="s">
        <v>2132</v>
      </c>
      <c r="D84" t="s">
        <v>1976</v>
      </c>
    </row>
    <row r="85" spans="2:4" x14ac:dyDescent="0.3">
      <c r="B85" t="s">
        <v>2134</v>
      </c>
      <c r="C85" t="s">
        <v>2133</v>
      </c>
      <c r="D85" t="s">
        <v>1976</v>
      </c>
    </row>
    <row r="86" spans="2:4" x14ac:dyDescent="0.3">
      <c r="B86" t="s">
        <v>2144</v>
      </c>
      <c r="C86" t="s">
        <v>2156</v>
      </c>
      <c r="D86" t="s">
        <v>2155</v>
      </c>
    </row>
    <row r="87" spans="2:4" x14ac:dyDescent="0.3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D6" sqref="D6"/>
    </sheetView>
  </sheetViews>
  <sheetFormatPr defaultColWidth="11" defaultRowHeight="15.6" x14ac:dyDescent="0.3"/>
  <cols>
    <col min="1" max="1" width="11.5" bestFit="1" customWidth="1"/>
    <col min="2" max="2" width="10.69921875" customWidth="1"/>
    <col min="3" max="3" width="6.5" customWidth="1"/>
    <col min="4" max="4" width="83.5" customWidth="1"/>
    <col min="5" max="5" width="12.5" bestFit="1" customWidth="1"/>
    <col min="6" max="11" width="9.3984375" customWidth="1"/>
    <col min="13" max="13" width="16.3984375" bestFit="1" customWidth="1"/>
    <col min="14" max="18" width="15.3984375" bestFit="1" customWidth="1"/>
  </cols>
  <sheetData>
    <row r="1" spans="1:1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1" x14ac:dyDescent="0.3">
      <c r="A2" s="9" t="s">
        <v>5</v>
      </c>
      <c r="B2" s="9" t="s">
        <v>2179</v>
      </c>
      <c r="C2" s="2" t="s">
        <v>7</v>
      </c>
      <c r="D2" s="2" t="s">
        <v>15</v>
      </c>
      <c r="E2" s="2" t="s">
        <v>8</v>
      </c>
      <c r="F2" s="3">
        <f>F3+F8+F11+F12+F16+F17+F18+F19</f>
        <v>299.5480319238049</v>
      </c>
      <c r="G2" s="3">
        <f t="shared" ref="G2:K2" si="0">G3+G8+G11+G12+G16+G17+G18+G19</f>
        <v>294.3968536964536</v>
      </c>
      <c r="H2" s="3">
        <f t="shared" si="0"/>
        <v>387.86769459326831</v>
      </c>
      <c r="I2" s="3">
        <f t="shared" si="0"/>
        <v>383.76243204967022</v>
      </c>
      <c r="J2" s="3">
        <f t="shared" si="0"/>
        <v>443.75765242241454</v>
      </c>
      <c r="K2" s="3">
        <f t="shared" si="0"/>
        <v>489.22073326856656</v>
      </c>
    </row>
    <row r="3" spans="1:11" x14ac:dyDescent="0.3">
      <c r="A3" s="5" t="str">
        <f>A2</f>
        <v>STEM</v>
      </c>
      <c r="B3" s="5" t="str">
        <f t="shared" ref="B3:B66" si="1">B2</f>
        <v>SPS3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44.972445841606422</v>
      </c>
      <c r="G3" s="1">
        <f t="shared" ref="G3:K3" si="3">SUM(G4:G7)</f>
        <v>47.709937244765847</v>
      </c>
      <c r="H3" s="1">
        <f t="shared" si="3"/>
        <v>47.709968001679499</v>
      </c>
      <c r="I3" s="1">
        <f t="shared" si="3"/>
        <v>47.710008065102485</v>
      </c>
      <c r="J3" s="1">
        <f t="shared" si="3"/>
        <v>47.71000897642999</v>
      </c>
      <c r="K3" s="1">
        <f t="shared" si="3"/>
        <v>48.19009056308542</v>
      </c>
    </row>
    <row r="4" spans="1:11" x14ac:dyDescent="0.3">
      <c r="A4" s="5" t="str">
        <f t="shared" ref="A4:A53" si="4">A3</f>
        <v>STEM</v>
      </c>
      <c r="B4" s="5" t="str">
        <f t="shared" si="1"/>
        <v>SPS3</v>
      </c>
      <c r="C4" s="5" t="str">
        <f t="shared" ref="C4:C60" si="5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11.111881227614139</v>
      </c>
      <c r="G4" s="1" cm="1">
        <f t="array" ref="G4">SUMPRODUCT(("RNWWOD1"=[1]OUT_PrimaryEnergyCons!$A$1:$A$1000)*1,[1]OUT_PrimaryEnergyCons!E$1:E$1000)</f>
        <v>11.952874276720271</v>
      </c>
      <c r="H4" s="1" cm="1">
        <f t="array" ref="H4">SUMPRODUCT(("RNWWOD1"=[1]OUT_PrimaryEnergyCons!$A$1:$A$1000)*1,[1]OUT_PrimaryEnergyCons!F$1:F$1000)</f>
        <v>13.214382760150352</v>
      </c>
      <c r="I4" s="1" cm="1">
        <f t="array" ref="I4">SUMPRODUCT(("RNWWOD1"=[1]OUT_PrimaryEnergyCons!$A$1:$A$1000)*1,[1]OUT_PrimaryEnergyCons!G$1:G$1000)</f>
        <v>15.316901786531492</v>
      </c>
      <c r="J4" s="1" cm="1">
        <f t="array" ref="J4">SUMPRODUCT(("RNWWOD1"=[1]OUT_PrimaryEnergyCons!$A$1:$A$1000)*1,[1]OUT_PrimaryEnergyCons!H$1:H$1000)</f>
        <v>16.266382439094766</v>
      </c>
      <c r="K4" s="1" cm="1">
        <f t="array" ref="K4">SUMPRODUCT(("RNWWOD1"=[1]OUT_PrimaryEnergyCons!$A$1:$A$1000)*1,[1]OUT_PrimaryEnergyCons!I$1:I$1000)</f>
        <v>16.956988228018332</v>
      </c>
    </row>
    <row r="5" spans="1:11" x14ac:dyDescent="0.3">
      <c r="A5" s="5" t="str">
        <f t="shared" si="4"/>
        <v>STEM</v>
      </c>
      <c r="B5" s="5" t="str">
        <f t="shared" si="1"/>
        <v>SPS3</v>
      </c>
      <c r="C5" s="5" t="str">
        <f t="shared" si="5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7.5116745181742068</v>
      </c>
      <c r="G5" s="1" cm="1">
        <f t="array" ref="G5">SUMPRODUCT(("RNWWOD2"=[1]OUT_PrimaryEnergyCons!$A$1:$A$1000)*1,[1]OUT_PrimaryEnergyCons!E$1:E$1000)</f>
        <v>7.5431323690134668</v>
      </c>
      <c r="H5" s="1" cm="1">
        <f t="array" ref="H5">SUMPRODUCT(("RNWWOD2"=[1]OUT_PrimaryEnergyCons!$A$1:$A$1000)*1,[1]OUT_PrimaryEnergyCons!F$1:F$1000)</f>
        <v>7.5903383368509063</v>
      </c>
      <c r="I5" s="1" cm="1">
        <f t="array" ref="I5">SUMPRODUCT(("RNWWOD2"=[1]OUT_PrimaryEnergyCons!$A$1:$A$1000)*1,[1]OUT_PrimaryEnergyCons!G$1:G$1000)</f>
        <v>7.669019034359664</v>
      </c>
      <c r="J5" s="1" cm="1">
        <f t="array" ref="J5">SUMPRODUCT(("RNWWOD2"=[1]OUT_PrimaryEnergyCons!$A$1:$A$1000)*1,[1]OUT_PrimaryEnergyCons!H$1:H$1000)</f>
        <v>7.669013791280638</v>
      </c>
      <c r="K5" s="1" cm="1">
        <f t="array" ref="K5">SUMPRODUCT(("RNWWOD2"=[1]OUT_PrimaryEnergyCons!$A$1:$A$1000)*1,[1]OUT_PrimaryEnergyCons!I$1:I$1000)</f>
        <v>7.6690194589256562</v>
      </c>
    </row>
    <row r="6" spans="1:11" x14ac:dyDescent="0.3">
      <c r="A6" s="5" t="str">
        <f t="shared" si="4"/>
        <v>STEM</v>
      </c>
      <c r="B6" s="5" t="str">
        <f t="shared" si="1"/>
        <v>SPS3</v>
      </c>
      <c r="C6" s="5" t="str">
        <f t="shared" si="5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3.1682485622059962</v>
      </c>
      <c r="G6" s="1" cm="1">
        <f t="array" ref="G6">SUMPRODUCT(("RNWWOD3"=[1]OUT_PrimaryEnergyCons!$A$1:$A$1000)*1,[1]OUT_PrimaryEnergyCons!E$1:E$1000)</f>
        <v>3.4956563243302847</v>
      </c>
      <c r="H6" s="1" cm="1">
        <f t="array" ref="H6">SUMPRODUCT(("RNWWOD3"=[1]OUT_PrimaryEnergyCons!$A$1:$A$1000)*1,[1]OUT_PrimaryEnergyCons!F$1:F$1000)</f>
        <v>3.9867976622040047</v>
      </c>
      <c r="I6" s="1" cm="1">
        <f t="array" ref="I6">SUMPRODUCT(("RNWWOD3"=[1]OUT_PrimaryEnergyCons!$A$1:$A$1000)*1,[1]OUT_PrimaryEnergyCons!G$1:G$1000)</f>
        <v>4.8053724335446644</v>
      </c>
      <c r="J6" s="1" cm="1">
        <f t="array" ref="J6">SUMPRODUCT(("RNWWOD3"=[1]OUT_PrimaryEnergyCons!$A$1:$A$1000)*1,[1]OUT_PrimaryEnergyCons!H$1:H$1000)</f>
        <v>4.8053652441706003</v>
      </c>
      <c r="K6" s="1" cm="1">
        <f t="array" ref="K6">SUMPRODUCT(("RNWWOD3"=[1]OUT_PrimaryEnergyCons!$A$1:$A$1000)*1,[1]OUT_PrimaryEnergyCons!I$1:I$1000)</f>
        <v>4.8053758274333118</v>
      </c>
    </row>
    <row r="7" spans="1:11" x14ac:dyDescent="0.3">
      <c r="A7" s="5" t="str">
        <f t="shared" si="4"/>
        <v>STEM</v>
      </c>
      <c r="B7" s="5" t="str">
        <f t="shared" si="1"/>
        <v>SPS3</v>
      </c>
      <c r="C7" s="5" t="str">
        <f t="shared" si="5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23.180641533612082</v>
      </c>
      <c r="G7" s="1" cm="1">
        <f t="array" ref="G7">SUMPRODUCT(("RNWWOD4"=[1]OUT_PrimaryEnergyCons!$A$1:$A$1000)*1+("RNWWOD5"=[1]OUT_PrimaryEnergyCons!$A$1:$A$1000)*1,[1]OUT_PrimaryEnergyCons!E$1:E$1000)</f>
        <v>24.718274274701827</v>
      </c>
      <c r="H7" s="1" cm="1">
        <f t="array" ref="H7">SUMPRODUCT(("RNWWOD4"=[1]OUT_PrimaryEnergyCons!$A$1:$A$1000)*1+("RNWWOD5"=[1]OUT_PrimaryEnergyCons!$A$1:$A$1000)*1,[1]OUT_PrimaryEnergyCons!F$1:F$1000)</f>
        <v>22.918449242474232</v>
      </c>
      <c r="I7" s="1" cm="1">
        <f t="array" ref="I7">SUMPRODUCT(("RNWWOD4"=[1]OUT_PrimaryEnergyCons!$A$1:$A$1000)*1+("RNWWOD5"=[1]OUT_PrimaryEnergyCons!$A$1:$A$1000)*1,[1]OUT_PrimaryEnergyCons!G$1:G$1000)</f>
        <v>19.918714810666668</v>
      </c>
      <c r="J7" s="1" cm="1">
        <f t="array" ref="J7">SUMPRODUCT(("RNWWOD4"=[1]OUT_PrimaryEnergyCons!$A$1:$A$1000)*1+("RNWWOD5"=[1]OUT_PrimaryEnergyCons!$A$1:$A$1000)*1,[1]OUT_PrimaryEnergyCons!H$1:H$1000)</f>
        <v>18.969247501883981</v>
      </c>
      <c r="K7" s="1" cm="1">
        <f t="array" ref="K7">SUMPRODUCT(("RNWWOD4"=[1]OUT_PrimaryEnergyCons!$A$1:$A$1000)*1+("RNWWOD5"=[1]OUT_PrimaryEnergyCons!$A$1:$A$1000)*1,[1]OUT_PrimaryEnergyCons!I$1:I$1000)</f>
        <v>18.758707048708121</v>
      </c>
    </row>
    <row r="8" spans="1:11" x14ac:dyDescent="0.3">
      <c r="A8" s="5" t="str">
        <f t="shared" si="4"/>
        <v>STEM</v>
      </c>
      <c r="B8" s="5" t="str">
        <f t="shared" si="1"/>
        <v>SPS3</v>
      </c>
      <c r="C8" s="5" t="str">
        <f t="shared" si="5"/>
        <v>CH</v>
      </c>
      <c r="D8" t="s">
        <v>772</v>
      </c>
      <c r="E8" t="s">
        <v>8</v>
      </c>
      <c r="F8" s="1">
        <f>SUM(F9:F10)</f>
        <v>69.392899609041223</v>
      </c>
      <c r="G8" s="1">
        <f t="shared" ref="G8:K8" si="6">SUM(G9:G10)</f>
        <v>69.663495271403107</v>
      </c>
      <c r="H8" s="1">
        <f t="shared" si="6"/>
        <v>69.270597567980062</v>
      </c>
      <c r="I8" s="1">
        <f t="shared" si="6"/>
        <v>72.003833439556132</v>
      </c>
      <c r="J8" s="1">
        <f t="shared" si="6"/>
        <v>72.755846185605819</v>
      </c>
      <c r="K8" s="1">
        <f t="shared" si="6"/>
        <v>77.502239338323051</v>
      </c>
    </row>
    <row r="9" spans="1:11" x14ac:dyDescent="0.3">
      <c r="A9" s="5" t="str">
        <f t="shared" si="4"/>
        <v>STEM</v>
      </c>
      <c r="B9" s="5" t="str">
        <f t="shared" si="1"/>
        <v>SPS3</v>
      </c>
      <c r="C9" s="5" t="str">
        <f t="shared" si="5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35.611777857532019</v>
      </c>
      <c r="G9" s="1" cm="1">
        <f t="array" ref="G9">SUMPRODUCT(("RNNWWST1"=[1]OUT_PrimaryEnergyCons!$A$1:$A$1000)*1,[1]OUT_PrimaryEnergyCons!E$1:E$1000)</f>
        <v>35.882389695216531</v>
      </c>
      <c r="H9" s="1" cm="1">
        <f t="array" ref="H9">SUMPRODUCT(("RNNWWST1"=[1]OUT_PrimaryEnergyCons!$A$1:$A$1000)*1,[1]OUT_PrimaryEnergyCons!F$1:F$1000)</f>
        <v>35.489492387607719</v>
      </c>
      <c r="I9" s="1" cm="1">
        <f t="array" ref="I9">SUMPRODUCT(("RNNWWST1"=[1]OUT_PrimaryEnergyCons!$A$1:$A$1000)*1,[1]OUT_PrimaryEnergyCons!G$1:G$1000)</f>
        <v>35.687246602228306</v>
      </c>
      <c r="J9" s="1" cm="1">
        <f t="array" ref="J9">SUMPRODUCT(("RNNWWST1"=[1]OUT_PrimaryEnergyCons!$A$1:$A$1000)*1,[1]OUT_PrimaryEnergyCons!H$1:H$1000)</f>
        <v>35.15945211770142</v>
      </c>
      <c r="K9" s="1" cm="1">
        <f t="array" ref="K9">SUMPRODUCT(("RNNWWST1"=[1]OUT_PrimaryEnergyCons!$A$1:$A$1000)*1,[1]OUT_PrimaryEnergyCons!I$1:I$1000)</f>
        <v>35.603179181073742</v>
      </c>
    </row>
    <row r="10" spans="1:11" x14ac:dyDescent="0.3">
      <c r="A10" s="5" t="str">
        <f t="shared" si="4"/>
        <v>STEM</v>
      </c>
      <c r="B10" s="5" t="str">
        <f t="shared" si="1"/>
        <v>SPS3</v>
      </c>
      <c r="C10" s="5" t="str">
        <f t="shared" si="5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33.781121751509197</v>
      </c>
      <c r="G10" s="1" cm="1">
        <f t="array" ref="G10">SUMPRODUCT(("RNWWST1"=[1]OUT_PrimaryEnergyCons!$A$1:$A$1000)*1,[1]OUT_PrimaryEnergyCons!E$1:E$1000)</f>
        <v>33.781105576186576</v>
      </c>
      <c r="H10" s="1" cm="1">
        <f t="array" ref="H10">SUMPRODUCT(("RNWWST1"=[1]OUT_PrimaryEnergyCons!$A$1:$A$1000)*1,[1]OUT_PrimaryEnergyCons!F$1:F$1000)</f>
        <v>33.781105180372343</v>
      </c>
      <c r="I10" s="1" cm="1">
        <f t="array" ref="I10">SUMPRODUCT(("RNWWST1"=[1]OUT_PrimaryEnergyCons!$A$1:$A$1000)*1,[1]OUT_PrimaryEnergyCons!G$1:G$1000)</f>
        <v>36.316586837327826</v>
      </c>
      <c r="J10" s="1" cm="1">
        <f t="array" ref="J10">SUMPRODUCT(("RNWWST1"=[1]OUT_PrimaryEnergyCons!$A$1:$A$1000)*1,[1]OUT_PrimaryEnergyCons!H$1:H$1000)</f>
        <v>37.596394067904399</v>
      </c>
      <c r="K10" s="1" cm="1">
        <f t="array" ref="K10">SUMPRODUCT(("RNWWST1"=[1]OUT_PrimaryEnergyCons!$A$1:$A$1000)*1,[1]OUT_PrimaryEnergyCons!I$1:I$1000)</f>
        <v>41.899060157249309</v>
      </c>
    </row>
    <row r="11" spans="1:11" x14ac:dyDescent="0.3">
      <c r="A11" s="5" t="str">
        <f t="shared" si="4"/>
        <v>STEM</v>
      </c>
      <c r="B11" s="5" t="str">
        <f t="shared" si="1"/>
        <v>SPS3</v>
      </c>
      <c r="C11" s="5" t="str">
        <f t="shared" si="5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3.7981123036001563</v>
      </c>
      <c r="G11" s="1" cm="1">
        <f t="array" ref="G11">SUMPRODUCT(("mnr"=[1]OUT_PrimaryEnergyCons!$C$1:$C$1000)*1,[1]OUT_PrimaryEnergyCons!E$1:E$1000)</f>
        <v>12.540349061436519</v>
      </c>
      <c r="H11" s="1" cm="1">
        <f t="array" ref="H11">SUMPRODUCT(("mnr"=[1]OUT_PrimaryEnergyCons!$C$1:$C$1000)*1,[1]OUT_PrimaryEnergyCons!F$1:F$1000)</f>
        <v>12.54040171323124</v>
      </c>
      <c r="I11" s="1" cm="1">
        <f t="array" ref="I11">SUMPRODUCT(("mnr"=[1]OUT_PrimaryEnergyCons!$C$1:$C$1000)*1,[1]OUT_PrimaryEnergyCons!G$1:G$1000)</f>
        <v>12.540444094000744</v>
      </c>
      <c r="J11" s="1" cm="1">
        <f t="array" ref="J11">SUMPRODUCT(("mnr"=[1]OUT_PrimaryEnergyCons!$C$1:$C$1000)*1,[1]OUT_PrimaryEnergyCons!H$1:H$1000)</f>
        <v>14.675065279015833</v>
      </c>
      <c r="K11" s="1" cm="1">
        <f t="array" ref="K11">SUMPRODUCT(("mnr"=[1]OUT_PrimaryEnergyCons!$C$1:$C$1000)*1,[1]OUT_PrimaryEnergyCons!I$1:I$1000)</f>
        <v>26.999964862345102</v>
      </c>
    </row>
    <row r="12" spans="1:11" x14ac:dyDescent="0.3">
      <c r="A12" s="5" t="str">
        <f t="shared" si="4"/>
        <v>STEM</v>
      </c>
      <c r="B12" s="5" t="str">
        <f t="shared" si="1"/>
        <v>SPS3</v>
      </c>
      <c r="C12" s="5" t="str">
        <f t="shared" si="5"/>
        <v>CH</v>
      </c>
      <c r="D12" t="s">
        <v>774</v>
      </c>
      <c r="E12" t="s">
        <v>8</v>
      </c>
      <c r="F12" s="1">
        <f>SUM(F13:F15)</f>
        <v>149.43051528527872</v>
      </c>
      <c r="G12" s="1">
        <f t="shared" ref="G12:K12" si="7">SUM(G13:G15)</f>
        <v>125.62909466399515</v>
      </c>
      <c r="H12" s="1">
        <f t="shared" si="7"/>
        <v>191.02897728476563</v>
      </c>
      <c r="I12" s="1">
        <f t="shared" si="7"/>
        <v>150.81580582512464</v>
      </c>
      <c r="J12" s="1">
        <f t="shared" si="7"/>
        <v>152.09513941142598</v>
      </c>
      <c r="K12" s="1">
        <f t="shared" si="7"/>
        <v>152.50245738755802</v>
      </c>
    </row>
    <row r="13" spans="1:11" x14ac:dyDescent="0.3">
      <c r="A13" s="5" t="str">
        <f t="shared" si="4"/>
        <v>STEM</v>
      </c>
      <c r="B13" s="5" t="str">
        <f t="shared" si="1"/>
        <v>SPS3</v>
      </c>
      <c r="C13" s="5" t="str">
        <f t="shared" si="5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66.745680242457198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49.798772798818447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68.44373040175482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68.180550216121247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71.199673773627197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70.392364007093917</v>
      </c>
    </row>
    <row r="14" spans="1:11" x14ac:dyDescent="0.3">
      <c r="A14" s="5" t="str">
        <f t="shared" si="4"/>
        <v>STEM</v>
      </c>
      <c r="B14" s="5" t="str">
        <f t="shared" si="1"/>
        <v>SPS3</v>
      </c>
      <c r="C14" s="5" t="str">
        <f t="shared" si="5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66.632414534993345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55.763997394256521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65.64174178742968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66.967551450462892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64.786803230896652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65.594080260553554</v>
      </c>
    </row>
    <row r="15" spans="1:11" x14ac:dyDescent="0.3">
      <c r="A15" s="5" t="str">
        <f t="shared" si="4"/>
        <v>STEM</v>
      </c>
      <c r="B15" s="5" t="str">
        <f t="shared" si="1"/>
        <v>SPS3</v>
      </c>
      <c r="C15" s="5" t="str">
        <f t="shared" si="5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16.052420507828163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20.066324470920176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56.943505095581159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15.667704158540502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16.108662406902116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16.516013119910554</v>
      </c>
    </row>
    <row r="16" spans="1:11" x14ac:dyDescent="0.3">
      <c r="A16" s="5" t="str">
        <f t="shared" si="4"/>
        <v>STEM</v>
      </c>
      <c r="B16" s="5" t="str">
        <f t="shared" si="1"/>
        <v>SPS3</v>
      </c>
      <c r="C16" s="5" t="str">
        <f t="shared" si="5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12.556555837235985</v>
      </c>
      <c r="G16" s="1" cm="1">
        <f t="array" ref="G16">SUMPRODUCT(ISNUMBER(SEARCH("SOL",[1]OUT_PrimaryEnergyCons!$C$1:$C$1000))*1,[1]OUT_PrimaryEnergyCons!E$1:E$1000)</f>
        <v>16.523628862519221</v>
      </c>
      <c r="H16" s="1" cm="1">
        <f t="array" ref="H16">SUMPRODUCT(ISNUMBER(SEARCH("SOL",[1]OUT_PrimaryEnergyCons!$C$1:$C$1000))*1,[1]OUT_PrimaryEnergyCons!F$1:F$1000)</f>
        <v>31.879610368401561</v>
      </c>
      <c r="I16" s="1" cm="1">
        <f t="array" ref="I16">SUMPRODUCT(ISNUMBER(SEARCH("SOL",[1]OUT_PrimaryEnergyCons!$C$1:$C$1000))*1,[1]OUT_PrimaryEnergyCons!G$1:G$1000)</f>
        <v>36.296299834947206</v>
      </c>
      <c r="J16" s="1" cm="1">
        <f t="array" ref="J16">SUMPRODUCT(ISNUMBER(SEARCH("SOL",[1]OUT_PrimaryEnergyCons!$C$1:$C$1000))*1,[1]OUT_PrimaryEnergyCons!H$1:H$1000)</f>
        <v>65.886306603111507</v>
      </c>
      <c r="K16" s="1" cm="1">
        <f t="array" ref="K16">SUMPRODUCT(ISNUMBER(SEARCH("SOL",[1]OUT_PrimaryEnergyCons!$C$1:$C$1000))*1,[1]OUT_PrimaryEnergyCons!I$1:I$1000)</f>
        <v>96.433193963493878</v>
      </c>
    </row>
    <row r="17" spans="1:18" x14ac:dyDescent="0.3">
      <c r="A17" s="5" t="str">
        <f t="shared" si="4"/>
        <v>STEM</v>
      </c>
      <c r="B17" s="5" t="str">
        <f t="shared" si="1"/>
        <v>SPS3</v>
      </c>
      <c r="C17" s="5" t="str">
        <f t="shared" si="5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0.52415701887531818</v>
      </c>
      <c r="G17" s="1" cm="1">
        <f t="array" ref="G17">SUMPRODUCT(ISNUMBER(SEARCH("wnd",[1]OUT_PrimaryEnergyCons!$C$1:$C$1000))*1,[1]OUT_PrimaryEnergyCons!E$1:E$1000)</f>
        <v>0.54529695493670194</v>
      </c>
      <c r="H17" s="1" cm="1">
        <f t="array" ref="H17">SUMPRODUCT(ISNUMBER(SEARCH("wnd",[1]OUT_PrimaryEnergyCons!$C$1:$C$1000))*1,[1]OUT_PrimaryEnergyCons!F$1:F$1000)</f>
        <v>1.0538581301090508</v>
      </c>
      <c r="I17" s="1" cm="1">
        <f t="array" ref="I17">SUMPRODUCT(ISNUMBER(SEARCH("wnd",[1]OUT_PrimaryEnergyCons!$C$1:$C$1000))*1,[1]OUT_PrimaryEnergyCons!G$1:G$1000)</f>
        <v>2.0504175567554079</v>
      </c>
      <c r="J17" s="1" cm="1">
        <f t="array" ref="J17">SUMPRODUCT(ISNUMBER(SEARCH("wnd",[1]OUT_PrimaryEnergyCons!$C$1:$C$1000))*1,[1]OUT_PrimaryEnergyCons!H$1:H$1000)</f>
        <v>5.020619195299191</v>
      </c>
      <c r="K17" s="1" cm="1">
        <f t="array" ref="K17">SUMPRODUCT(ISNUMBER(SEARCH("wnd",[1]OUT_PrimaryEnergyCons!$C$1:$C$1000))*1,[1]OUT_PrimaryEnergyCons!I$1:I$1000)</f>
        <v>6.1200790482247935</v>
      </c>
    </row>
    <row r="18" spans="1:18" x14ac:dyDescent="0.3">
      <c r="A18" s="5" t="str">
        <f t="shared" si="4"/>
        <v>STEM</v>
      </c>
      <c r="B18" s="5" t="str">
        <f t="shared" si="1"/>
        <v>SPS3</v>
      </c>
      <c r="C18" s="5" t="str">
        <f t="shared" si="5"/>
        <v>CH</v>
      </c>
      <c r="D18" t="s">
        <v>777</v>
      </c>
      <c r="E18" t="s">
        <v>8</v>
      </c>
      <c r="F18" s="1">
        <f>[1]Overview!B$9-F19</f>
        <v>18.873346028167052</v>
      </c>
      <c r="G18" s="1">
        <f>[1]Overview!C$9-G19</f>
        <v>21.785051637397022</v>
      </c>
      <c r="H18" s="1">
        <f>[1]Overview!D$9-H19</f>
        <v>34.384281527101209</v>
      </c>
      <c r="I18" s="1">
        <f>[1]Overview!E$9-I19</f>
        <v>62.34562323418362</v>
      </c>
      <c r="J18" s="1">
        <f>[1]Overview!F$9-J19</f>
        <v>85.607345377462707</v>
      </c>
      <c r="K18" s="1">
        <f>[1]Overview!G$9-K19</f>
        <v>81.463088131710194</v>
      </c>
    </row>
    <row r="19" spans="1:18" x14ac:dyDescent="0.3">
      <c r="A19" s="5" t="str">
        <f t="shared" si="4"/>
        <v>STEM</v>
      </c>
      <c r="B19" s="5" t="str">
        <f t="shared" si="1"/>
        <v>SPS3</v>
      </c>
      <c r="C19" s="5" t="str">
        <f t="shared" si="5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7.3213940634494091E-3</v>
      </c>
      <c r="K19" s="1">
        <f>+[1]Overview!G$28</f>
        <v>9.6199738260660944E-3</v>
      </c>
    </row>
    <row r="20" spans="1:18" x14ac:dyDescent="0.3">
      <c r="A20" s="9" t="str">
        <f t="shared" si="4"/>
        <v>STEM</v>
      </c>
      <c r="B20" s="9" t="str">
        <f t="shared" si="1"/>
        <v>SPS3</v>
      </c>
      <c r="C20" s="2" t="str">
        <f t="shared" si="5"/>
        <v>CH</v>
      </c>
      <c r="D20" s="2" t="s">
        <v>19</v>
      </c>
      <c r="E20" s="2" t="s">
        <v>8</v>
      </c>
      <c r="F20" s="3">
        <f t="shared" ref="F20:K20" si="8">SUM(F21:F22,F39,F48:F49,F54)</f>
        <v>782.01907649421855</v>
      </c>
      <c r="G20" s="3">
        <f t="shared" si="8"/>
        <v>703.94563039153491</v>
      </c>
      <c r="H20" s="3">
        <f t="shared" si="8"/>
        <v>613.68494757854353</v>
      </c>
      <c r="I20" s="3">
        <f t="shared" si="8"/>
        <v>403.85572290782659</v>
      </c>
      <c r="J20" s="3">
        <f t="shared" si="8"/>
        <v>224.93087156641769</v>
      </c>
      <c r="K20" s="3">
        <f t="shared" si="8"/>
        <v>63.958357073910037</v>
      </c>
      <c r="M20" s="1"/>
      <c r="N20" s="1"/>
      <c r="O20" s="1"/>
      <c r="P20" s="1"/>
      <c r="Q20" s="1"/>
      <c r="R20" s="1"/>
    </row>
    <row r="21" spans="1:18" x14ac:dyDescent="0.3">
      <c r="A21" s="5" t="str">
        <f t="shared" si="4"/>
        <v>STEM</v>
      </c>
      <c r="B21" s="5" t="str">
        <f t="shared" si="1"/>
        <v>SPS3</v>
      </c>
      <c r="C21" s="5" t="str">
        <f t="shared" si="5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3.6600175861612629</v>
      </c>
      <c r="G21" s="1" cm="1">
        <f t="array" ref="G21">SUMPRODUCT(("COA"=[1]OUT_PrimaryEnergyCons!$C$4:$C$10000)*1,[1]OUT_PrimaryEnergyCons!E$4:E$10000)</f>
        <v>3.5647162176880545</v>
      </c>
      <c r="H21" s="1" cm="1">
        <f t="array" ref="H21">SUMPRODUCT(("COA"=[1]OUT_PrimaryEnergyCons!$C$4:$C$10000)*1,[1]OUT_PrimaryEnergyCons!F$4:F$10000)</f>
        <v>6.5262945765768937E-2</v>
      </c>
      <c r="I21" s="1" cm="1">
        <f t="array" ref="I21">SUMPRODUCT(("COA"=[1]OUT_PrimaryEnergyCons!$C$4:$C$10000)*1,[1]OUT_PrimaryEnergyCons!G$4:G$10000)</f>
        <v>7.8442736175054533E-6</v>
      </c>
      <c r="J21" s="1" cm="1">
        <f t="array" ref="J21">SUMPRODUCT(("COA"=[1]OUT_PrimaryEnergyCons!$C$4:$C$10000)*1,[1]OUT_PrimaryEnergyCons!H$4:H$10000)</f>
        <v>5.665934434187298E-4</v>
      </c>
      <c r="K21" s="1" cm="1">
        <f t="array" ref="K21">SUMPRODUCT(("COA"=[1]OUT_PrimaryEnergyCons!$C$4:$C$10000)*1,[1]OUT_PrimaryEnergyCons!I$4:I$10000)</f>
        <v>1.3661270687521166E-3</v>
      </c>
    </row>
    <row r="22" spans="1:18" x14ac:dyDescent="0.3">
      <c r="A22" s="5" t="str">
        <f t="shared" si="4"/>
        <v>STEM</v>
      </c>
      <c r="B22" s="5" t="str">
        <f t="shared" si="1"/>
        <v>SPS3</v>
      </c>
      <c r="C22" s="5" t="str">
        <f t="shared" si="5"/>
        <v>CH</v>
      </c>
      <c r="D22" t="s">
        <v>780</v>
      </c>
      <c r="E22" t="s">
        <v>8</v>
      </c>
      <c r="F22" s="1">
        <f>F23+F29</f>
        <v>312.37982794559923</v>
      </c>
      <c r="G22" s="1">
        <f t="shared" ref="G22:K22" si="9">G23+G29</f>
        <v>289.57768992562637</v>
      </c>
      <c r="H22" s="1">
        <f t="shared" si="9"/>
        <v>248.36247677352281</v>
      </c>
      <c r="I22" s="1">
        <f t="shared" si="9"/>
        <v>114.36437609350277</v>
      </c>
      <c r="J22" s="1">
        <f t="shared" si="9"/>
        <v>60.568024585069587</v>
      </c>
      <c r="K22" s="1">
        <f t="shared" si="9"/>
        <v>22.571940951759423</v>
      </c>
    </row>
    <row r="23" spans="1:18" x14ac:dyDescent="0.3">
      <c r="A23" s="5" t="str">
        <f t="shared" ref="A23" si="10">A22</f>
        <v>STEM</v>
      </c>
      <c r="B23" s="5" t="str">
        <f t="shared" si="1"/>
        <v>SPS3</v>
      </c>
      <c r="C23" s="5" t="str">
        <f t="shared" ref="C23" si="11">C22</f>
        <v>CH</v>
      </c>
      <c r="D23" t="s">
        <v>781</v>
      </c>
      <c r="E23" t="s">
        <v>8</v>
      </c>
      <c r="F23" s="1">
        <f>SUM(F24:F28)</f>
        <v>305.47608189215015</v>
      </c>
      <c r="G23" s="1">
        <f t="shared" ref="G23:K23" si="12">SUM(G24:G28)</f>
        <v>282.62846964504945</v>
      </c>
      <c r="H23" s="1">
        <f t="shared" si="12"/>
        <v>242.47792816206365</v>
      </c>
      <c r="I23" s="1">
        <f t="shared" si="12"/>
        <v>107.45920186558513</v>
      </c>
      <c r="J23" s="1">
        <f t="shared" si="12"/>
        <v>52.156017254704537</v>
      </c>
      <c r="K23" s="1">
        <f t="shared" si="12"/>
        <v>0</v>
      </c>
    </row>
    <row r="24" spans="1:18" x14ac:dyDescent="0.3">
      <c r="A24" s="5" t="str">
        <f>A22</f>
        <v>STEM</v>
      </c>
      <c r="B24" s="5" t="str">
        <f t="shared" si="1"/>
        <v>SPS3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101.95239433939248</v>
      </c>
      <c r="G24" s="1" cm="1">
        <f t="array" ref="G24">SUMPRODUCT(("LFO"=[1]OUT_PrimaryEnergyCons!$C$4:$C$10000)*1,[1]OUT_PrimaryEnergyCons!E$4:E$10000)</f>
        <v>89.700148831159126</v>
      </c>
      <c r="H24" s="1" cm="1">
        <f t="array" ref="H24">SUMPRODUCT(("LFO"=[1]OUT_PrimaryEnergyCons!$C$4:$C$10000)*1,[1]OUT_PrimaryEnergyCons!F$4:F$10000)</f>
        <v>81.188661816851578</v>
      </c>
      <c r="I24" s="1" cm="1">
        <f t="array" ref="I24">SUMPRODUCT(("LFO"=[1]OUT_PrimaryEnergyCons!$C$4:$C$10000)*1,[1]OUT_PrimaryEnergyCons!G$4:G$10000)</f>
        <v>38.710766206617549</v>
      </c>
      <c r="J24" s="1" cm="1">
        <f t="array" ref="J24">SUMPRODUCT(("LFO"=[1]OUT_PrimaryEnergyCons!$C$4:$C$10000)*1,[1]OUT_PrimaryEnergyCons!H$4:H$10000)</f>
        <v>9.1960974315439863</v>
      </c>
      <c r="K24" s="1" cm="1">
        <f t="array" ref="K24">SUMPRODUCT(("LFO"=[1]OUT_PrimaryEnergyCons!$C$4:$C$10000)*1,[1]OUT_PrimaryEnergyCons!I$4:I$10000)</f>
        <v>0</v>
      </c>
    </row>
    <row r="25" spans="1:18" x14ac:dyDescent="0.3">
      <c r="A25" s="5" t="str">
        <f t="shared" si="4"/>
        <v>STEM</v>
      </c>
      <c r="B25" s="5" t="str">
        <f t="shared" si="1"/>
        <v>SPS3</v>
      </c>
      <c r="C25" s="5" t="str">
        <f t="shared" si="5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2.7763810342632405</v>
      </c>
      <c r="G25" s="1" cm="1">
        <f t="array" ref="G25">SUMPRODUCT(("HFO"=[1]OUT_PrimaryEnergyCons!$C$4:$C$10000)*1,[1]OUT_PrimaryEnergyCons!E$4:E$10000)</f>
        <v>1.2873099774094718</v>
      </c>
      <c r="H25" s="1" cm="1">
        <f t="array" ref="H25">SUMPRODUCT(("HFO"=[1]OUT_PrimaryEnergyCons!$C$4:$C$10000)*1,[1]OUT_PrimaryEnergyCons!F$4:F$10000)</f>
        <v>2.1630920397363834E-2</v>
      </c>
      <c r="I25" s="1" cm="1">
        <f t="array" ref="I25">SUMPRODUCT(("HFO"=[1]OUT_PrimaryEnergyCons!$C$4:$C$10000)*1,[1]OUT_PrimaryEnergyCons!G$4:G$10000)</f>
        <v>7.4373463029334637E-6</v>
      </c>
      <c r="J25" s="1" cm="1">
        <f t="array" ref="J25">SUMPRODUCT(("HFO"=[1]OUT_PrimaryEnergyCons!$C$4:$C$10000)*1,[1]OUT_PrimaryEnergyCons!H$4:H$10000)</f>
        <v>6.2000777070102351E-4</v>
      </c>
      <c r="K25" s="1" cm="1">
        <f t="array" ref="K25">SUMPRODUCT(("HFO"=[1]OUT_PrimaryEnergyCons!$C$4:$C$10000)*1,[1]OUT_PrimaryEnergyCons!I$4:I$10000)</f>
        <v>0</v>
      </c>
    </row>
    <row r="26" spans="1:18" x14ac:dyDescent="0.3">
      <c r="A26" s="5" t="str">
        <f t="shared" si="4"/>
        <v>STEM</v>
      </c>
      <c r="B26" s="5" t="str">
        <f t="shared" si="1"/>
        <v>SPS3</v>
      </c>
      <c r="C26" s="5" t="str">
        <f t="shared" si="5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121.01045938029928</v>
      </c>
      <c r="G26" s="1" cm="1">
        <f t="array" ref="G26">SUMPRODUCT(("DSL"=[1]OUT_PrimaryEnergyCons!$C$4:$C$10000)*1,[1]OUT_PrimaryEnergyCons!E$4:E$10000)</f>
        <v>110.83932931038892</v>
      </c>
      <c r="H26" s="1" cm="1">
        <f t="array" ref="H26">SUMPRODUCT(("DSL"=[1]OUT_PrimaryEnergyCons!$C$4:$C$10000)*1,[1]OUT_PrimaryEnergyCons!F$4:F$10000)</f>
        <v>87.142714359806604</v>
      </c>
      <c r="I26" s="1" cm="1">
        <f t="array" ref="I26">SUMPRODUCT(("DSL"=[1]OUT_PrimaryEnergyCons!$C$4:$C$10000)*1,[1]OUT_PrimaryEnergyCons!G$4:G$10000)</f>
        <v>41.646626292315752</v>
      </c>
      <c r="J26" s="1" cm="1">
        <f t="array" ref="J26">SUMPRODUCT(("DSL"=[1]OUT_PrimaryEnergyCons!$C$4:$C$10000)*1,[1]OUT_PrimaryEnergyCons!H$4:H$10000)</f>
        <v>40.886916041454874</v>
      </c>
      <c r="K26" s="1" cm="1">
        <f t="array" ref="K26">SUMPRODUCT(("DSL"=[1]OUT_PrimaryEnergyCons!$C$4:$C$10000)*1,[1]OUT_PrimaryEnergyCons!I$4:I$10000)</f>
        <v>0</v>
      </c>
    </row>
    <row r="27" spans="1:18" x14ac:dyDescent="0.3">
      <c r="A27" s="5" t="str">
        <f t="shared" si="4"/>
        <v>STEM</v>
      </c>
      <c r="B27" s="5" t="str">
        <f t="shared" si="1"/>
        <v>SPS3</v>
      </c>
      <c r="C27" s="5" t="str">
        <f t="shared" si="5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78.627461771816002</v>
      </c>
      <c r="G27" s="1" cm="1">
        <f t="array" ref="G27">SUMPRODUCT(("GSL"=[1]OUT_PrimaryEnergyCons!$C$4:$C$10000)*1,[1]OUT_PrimaryEnergyCons!E$4:E$10000)</f>
        <v>79.396466642538186</v>
      </c>
      <c r="H27" s="1" cm="1">
        <f t="array" ref="H27">SUMPRODUCT(("GSL"=[1]OUT_PrimaryEnergyCons!$C$4:$C$10000)*1,[1]OUT_PrimaryEnergyCons!F$4:F$10000)</f>
        <v>72.275961905692427</v>
      </c>
      <c r="I27" s="1" cm="1">
        <f t="array" ref="I27">SUMPRODUCT(("GSL"=[1]OUT_PrimaryEnergyCons!$C$4:$C$10000)*1,[1]OUT_PrimaryEnergyCons!G$4:G$10000)</f>
        <v>25.066860689665642</v>
      </c>
      <c r="J27" s="1" cm="1">
        <f t="array" ref="J27">SUMPRODUCT(("GSL"=[1]OUT_PrimaryEnergyCons!$C$4:$C$10000)*1,[1]OUT_PrimaryEnergyCons!H$4:H$10000)</f>
        <v>0.59114213212551237</v>
      </c>
      <c r="K27" s="1" cm="1">
        <f t="array" ref="K27">SUMPRODUCT(("GSL"=[1]OUT_PrimaryEnergyCons!$C$4:$C$10000)*1,[1]OUT_PrimaryEnergyCons!I$4:I$10000)</f>
        <v>0</v>
      </c>
    </row>
    <row r="28" spans="1:18" x14ac:dyDescent="0.3">
      <c r="A28" s="5" t="str">
        <f t="shared" ref="A28" si="13">A27</f>
        <v>STEM</v>
      </c>
      <c r="B28" s="5" t="str">
        <f t="shared" si="1"/>
        <v>SPS3</v>
      </c>
      <c r="C28" s="5" t="str">
        <f t="shared" ref="C28" si="14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2.0349412396398781</v>
      </c>
      <c r="J28" s="1" cm="1">
        <f t="array" ref="J28">SUMPRODUCT(("KER"=[1]OUT_PrimaryEnergyCons!$C$4:$C$10000)*1,[1]OUT_PrimaryEnergyCons!H$4:H$10000)</f>
        <v>1.4812416418094601</v>
      </c>
      <c r="K28" s="1" cm="1">
        <f t="array" ref="K28">SUMPRODUCT(("KER"=[1]OUT_PrimaryEnergyCons!$C$4:$C$10000)*1,[1]OUT_PrimaryEnergyCons!I$4:I$10000)</f>
        <v>0</v>
      </c>
    </row>
    <row r="29" spans="1:18" x14ac:dyDescent="0.3">
      <c r="A29" s="5" t="str">
        <f>A48</f>
        <v>STEM</v>
      </c>
      <c r="B29" s="5" t="str">
        <f t="shared" si="1"/>
        <v>SPS3</v>
      </c>
      <c r="C29" s="5" t="str">
        <f>C48</f>
        <v>CH</v>
      </c>
      <c r="D29" t="s">
        <v>782</v>
      </c>
      <c r="E29" t="s">
        <v>8</v>
      </c>
      <c r="F29" s="1">
        <f>SUM(F30:F31)</f>
        <v>6.9037460534490753</v>
      </c>
      <c r="G29" s="1">
        <f t="shared" ref="G29:K29" si="15">SUM(G30:G31)</f>
        <v>6.9492202805769381</v>
      </c>
      <c r="H29" s="1">
        <f t="shared" si="15"/>
        <v>5.8845486114591612</v>
      </c>
      <c r="I29" s="1">
        <f t="shared" si="15"/>
        <v>6.9051742279176427</v>
      </c>
      <c r="J29" s="1">
        <f t="shared" si="15"/>
        <v>8.41200733036505</v>
      </c>
      <c r="K29" s="1">
        <f t="shared" si="15"/>
        <v>22.571940951759423</v>
      </c>
    </row>
    <row r="30" spans="1:18" x14ac:dyDescent="0.3">
      <c r="A30" s="5" t="str">
        <f>A35</f>
        <v>STEM</v>
      </c>
      <c r="B30" s="5" t="str">
        <f t="shared" si="1"/>
        <v>SPS3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2.4695931189728011</v>
      </c>
      <c r="G30" s="1" cm="1">
        <f t="array" ref="G30">SUMPRODUCT(ISNUMBER(SEARCH("IMPBDS",[1]OUT_SyntheticFuels!$C$4:$C$1000))*1,("Var_Fout"=[1]OUT_SyntheticFuels!$B$4:$B$1000)*1,[1]OUT_SyntheticFuels!F$4:F$1000)</f>
        <v>2.3526450578682954</v>
      </c>
      <c r="H30" s="1" cm="1">
        <f t="array" ref="H30">SUMPRODUCT(ISNUMBER(SEARCH("IMPBDS",[1]OUT_SyntheticFuels!$C$4:$C$1000))*1,("Var_Fout"=[1]OUT_SyntheticFuels!$B$4:$B$1000)*1,[1]OUT_SyntheticFuels!G$4:G$1000)</f>
        <v>2.9409148245411587</v>
      </c>
      <c r="I30" s="1" cm="1">
        <f t="array" ref="I30">SUMPRODUCT(ISNUMBER(SEARCH("IMPBDS",[1]OUT_SyntheticFuels!$C$4:$C$1000))*1,("Var_Fout"=[1]OUT_SyntheticFuels!$B$4:$B$1000)*1,[1]OUT_SyntheticFuels!H$4:H$1000)</f>
        <v>3.0273288905088624</v>
      </c>
      <c r="J30" s="1" cm="1">
        <f t="array" ref="J30">SUMPRODUCT(ISNUMBER(SEARCH("IMPBDS",[1]OUT_SyntheticFuels!$C$4:$C$1000))*1,("Var_Fout"=[1]OUT_SyntheticFuels!$B$4:$B$1000)*1,[1]OUT_SyntheticFuels!I$4:I$1000)</f>
        <v>2.8301914109013153</v>
      </c>
      <c r="K30" s="1" cm="1">
        <f t="array" ref="K30">SUMPRODUCT(ISNUMBER(SEARCH("IMPBDS",[1]OUT_SyntheticFuels!$C$4:$C$1000))*1,("Var_Fout"=[1]OUT_SyntheticFuels!$B$4:$B$1000)*1,[1]OUT_SyntheticFuels!J$4:J$1000)</f>
        <v>18.765198023936772</v>
      </c>
    </row>
    <row r="31" spans="1:18" x14ac:dyDescent="0.3">
      <c r="A31" s="5" t="str">
        <f>A30</f>
        <v>STEM</v>
      </c>
      <c r="B31" s="5" t="str">
        <f t="shared" si="1"/>
        <v>SPS3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4.4341529344762742</v>
      </c>
      <c r="G31" s="1" cm="1">
        <f t="array" ref="G31">SUMPRODUCT(ISNUMBER(SEARCH("IMPeth",[1]OUT_SyntheticFuels!$C$4:$C$1000))*1,("Var_Fout"=[1]OUT_SyntheticFuels!$B$4:$B$1000)*1,[1]OUT_SyntheticFuels!F$4:F$1000)</f>
        <v>4.5965752227086423</v>
      </c>
      <c r="H31" s="1" cm="1">
        <f t="array" ref="H31">SUMPRODUCT(ISNUMBER(SEARCH("IMPeth",[1]OUT_SyntheticFuels!$C$4:$C$1000))*1,("Var_Fout"=[1]OUT_SyntheticFuels!$B$4:$B$1000)*1,[1]OUT_SyntheticFuels!G$4:G$1000)</f>
        <v>2.9436337869180029</v>
      </c>
      <c r="I31" s="1" cm="1">
        <f t="array" ref="I31">SUMPRODUCT(ISNUMBER(SEARCH("IMPeth",[1]OUT_SyntheticFuels!$C$4:$C$1000))*1,("Var_Fout"=[1]OUT_SyntheticFuels!$B$4:$B$1000)*1,[1]OUT_SyntheticFuels!H$4:H$1000)</f>
        <v>3.8778453374087807</v>
      </c>
      <c r="J31" s="1" cm="1">
        <f t="array" ref="J31">SUMPRODUCT(ISNUMBER(SEARCH("IMPeth",[1]OUT_SyntheticFuels!$C$4:$C$1000))*1,("Var_Fout"=[1]OUT_SyntheticFuels!$B$4:$B$1000)*1,[1]OUT_SyntheticFuels!I$4:I$1000)</f>
        <v>5.5818159194637351</v>
      </c>
      <c r="K31" s="1" cm="1">
        <f t="array" ref="K31">SUMPRODUCT(ISNUMBER(SEARCH("IMPeth",[1]OUT_SyntheticFuels!$C$4:$C$1000))*1,("Var_Fout"=[1]OUT_SyntheticFuels!$B$4:$B$1000)*1,[1]OUT_SyntheticFuels!J$4:J$1000)</f>
        <v>3.8067429278226492</v>
      </c>
    </row>
    <row r="32" spans="1:18" x14ac:dyDescent="0.3">
      <c r="A32" s="5" t="str">
        <f>A29</f>
        <v>STEM</v>
      </c>
      <c r="B32" s="5" t="str">
        <f t="shared" si="1"/>
        <v>SPS3</v>
      </c>
      <c r="C32" s="5" t="str">
        <f>C29</f>
        <v>CH</v>
      </c>
      <c r="D32" t="s">
        <v>532</v>
      </c>
      <c r="E32" t="s">
        <v>8</v>
      </c>
      <c r="F32" s="1">
        <f t="shared" ref="F32:K32" si="16">SUM(F33:F34)</f>
        <v>6.9037460534490753</v>
      </c>
      <c r="G32" s="1">
        <f t="shared" si="16"/>
        <v>6.9492202805769381</v>
      </c>
      <c r="H32" s="1">
        <f t="shared" si="16"/>
        <v>5.8845486114591612</v>
      </c>
      <c r="I32" s="1">
        <f t="shared" si="16"/>
        <v>6.9051742279176427</v>
      </c>
      <c r="J32" s="1">
        <f t="shared" si="16"/>
        <v>7.426766633609958</v>
      </c>
      <c r="K32" s="1">
        <f t="shared" si="16"/>
        <v>6.8340718183315117</v>
      </c>
    </row>
    <row r="33" spans="1:11" x14ac:dyDescent="0.3">
      <c r="A33" s="5" t="str">
        <f>A31</f>
        <v>STEM</v>
      </c>
      <c r="B33" s="5" t="str">
        <f t="shared" si="1"/>
        <v>SPS3</v>
      </c>
      <c r="C33" s="5" t="str">
        <f>C31</f>
        <v>CH</v>
      </c>
      <c r="D33" t="s">
        <v>533</v>
      </c>
      <c r="E33" t="s">
        <v>8</v>
      </c>
      <c r="F33" s="1">
        <f t="shared" ref="F33:I34" si="17">F30</f>
        <v>2.4695931189728011</v>
      </c>
      <c r="G33" s="1">
        <f t="shared" si="17"/>
        <v>2.3526450578682954</v>
      </c>
      <c r="H33" s="1">
        <f t="shared" si="17"/>
        <v>2.9409148245411587</v>
      </c>
      <c r="I33" s="1">
        <f t="shared" si="17"/>
        <v>3.0273288905088624</v>
      </c>
      <c r="J33" s="1">
        <f>IF(J30-MAX(F30:I30)&lt;0,J30,MAX(F30:I30))</f>
        <v>2.8301914109013153</v>
      </c>
      <c r="K33" s="1">
        <f>IF(K30-MAX(F30:J30)&lt;0,K30,MAX(F30:J30))</f>
        <v>3.0273288905088624</v>
      </c>
    </row>
    <row r="34" spans="1:11" x14ac:dyDescent="0.3">
      <c r="A34" s="5" t="str">
        <f>A33</f>
        <v>STEM</v>
      </c>
      <c r="B34" s="5" t="str">
        <f t="shared" si="1"/>
        <v>SPS3</v>
      </c>
      <c r="C34" s="5" t="str">
        <f>C33</f>
        <v>CH</v>
      </c>
      <c r="D34" t="s">
        <v>534</v>
      </c>
      <c r="E34" t="s">
        <v>8</v>
      </c>
      <c r="F34" s="1">
        <f t="shared" si="17"/>
        <v>4.4341529344762742</v>
      </c>
      <c r="G34" s="1">
        <f t="shared" si="17"/>
        <v>4.5965752227086423</v>
      </c>
      <c r="H34" s="1">
        <f t="shared" si="17"/>
        <v>2.9436337869180029</v>
      </c>
      <c r="I34" s="1">
        <f t="shared" si="17"/>
        <v>3.8778453374087807</v>
      </c>
      <c r="J34" s="1">
        <f>IF(J31-MAX(F31:I31)&lt;0,J31,MAX(F31:I31))</f>
        <v>4.5965752227086423</v>
      </c>
      <c r="K34" s="1">
        <f>IF(K31-MAX(F31:J31)&lt;0,K31,MAX(F31:J31))</f>
        <v>3.8067429278226492</v>
      </c>
    </row>
    <row r="35" spans="1:11" x14ac:dyDescent="0.3">
      <c r="A35" s="5" t="str">
        <f>A32</f>
        <v>STEM</v>
      </c>
      <c r="B35" s="5" t="str">
        <f t="shared" si="1"/>
        <v>SPS3</v>
      </c>
      <c r="C35" s="5" t="str">
        <f>C32</f>
        <v>CH</v>
      </c>
      <c r="D35" t="s">
        <v>783</v>
      </c>
      <c r="E35" t="s">
        <v>8</v>
      </c>
      <c r="F35" s="1">
        <f t="shared" ref="F35:K35" si="18">SUM(F36:F37)</f>
        <v>0</v>
      </c>
      <c r="G35" s="1">
        <f t="shared" si="18"/>
        <v>0</v>
      </c>
      <c r="H35" s="1">
        <f t="shared" si="18"/>
        <v>0</v>
      </c>
      <c r="I35" s="1">
        <f t="shared" si="18"/>
        <v>0</v>
      </c>
      <c r="J35" s="1">
        <f t="shared" si="18"/>
        <v>0.98524069675509285</v>
      </c>
      <c r="K35" s="1">
        <f t="shared" si="18"/>
        <v>15.73786913342791</v>
      </c>
    </row>
    <row r="36" spans="1:11" x14ac:dyDescent="0.3">
      <c r="A36" s="5" t="str">
        <f>A34</f>
        <v>STEM</v>
      </c>
      <c r="B36" s="5" t="str">
        <f t="shared" si="1"/>
        <v>SPS3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0</v>
      </c>
      <c r="K36" s="1">
        <f>K30-K33</f>
        <v>15.73786913342791</v>
      </c>
    </row>
    <row r="37" spans="1:11" x14ac:dyDescent="0.3">
      <c r="A37" s="5" t="str">
        <f>A36</f>
        <v>STEM</v>
      </c>
      <c r="B37" s="5" t="str">
        <f t="shared" si="1"/>
        <v>SPS3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0.98524069675509285</v>
      </c>
      <c r="K37" s="1">
        <f>K31-K34</f>
        <v>0</v>
      </c>
    </row>
    <row r="38" spans="1:11" x14ac:dyDescent="0.3">
      <c r="A38" s="5"/>
      <c r="B38" s="5" t="str">
        <f t="shared" si="1"/>
        <v>SPS3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3">
      <c r="A39" s="5" t="str">
        <f t="shared" ref="A39:C40" si="19">A28</f>
        <v>STEM</v>
      </c>
      <c r="B39" s="5" t="str">
        <f t="shared" si="1"/>
        <v>SPS3</v>
      </c>
      <c r="C39" s="5" t="str">
        <f t="shared" si="19"/>
        <v>CH</v>
      </c>
      <c r="D39" t="s">
        <v>784</v>
      </c>
      <c r="E39" t="s">
        <v>8</v>
      </c>
      <c r="F39" s="1">
        <f>F40+F43</f>
        <v>117.87070658439573</v>
      </c>
      <c r="G39" s="1">
        <f t="shared" ref="G39:K39" si="20">G40+G43</f>
        <v>107.23632024422901</v>
      </c>
      <c r="H39" s="1">
        <f t="shared" si="20"/>
        <v>100.43242457220428</v>
      </c>
      <c r="I39" s="1">
        <f t="shared" si="20"/>
        <v>55.856844760266526</v>
      </c>
      <c r="J39" s="1">
        <f t="shared" si="20"/>
        <v>36.182465275036016</v>
      </c>
      <c r="K39" s="1">
        <f t="shared" si="20"/>
        <v>20.564927792325463</v>
      </c>
    </row>
    <row r="40" spans="1:11" x14ac:dyDescent="0.3">
      <c r="A40" s="5" t="str">
        <f t="shared" si="19"/>
        <v>STEM</v>
      </c>
      <c r="B40" s="5" t="str">
        <f t="shared" si="1"/>
        <v>SPS3</v>
      </c>
      <c r="C40" s="5" t="str">
        <f t="shared" si="19"/>
        <v>CH</v>
      </c>
      <c r="D40" t="s">
        <v>549</v>
      </c>
      <c r="E40" t="s">
        <v>8</v>
      </c>
      <c r="F40" s="1">
        <f>F41+F42</f>
        <v>117.87070658439573</v>
      </c>
      <c r="G40" s="1">
        <f t="shared" ref="G40:K40" si="21">G41+G42</f>
        <v>106.71999745754435</v>
      </c>
      <c r="H40" s="1">
        <f t="shared" si="21"/>
        <v>99.266390913362955</v>
      </c>
      <c r="I40" s="1">
        <f t="shared" si="21"/>
        <v>55.856828356084314</v>
      </c>
      <c r="J40" s="1">
        <f t="shared" si="21"/>
        <v>36.155080724317159</v>
      </c>
      <c r="K40" s="1">
        <f t="shared" si="21"/>
        <v>18.434327611882562</v>
      </c>
    </row>
    <row r="41" spans="1:11" x14ac:dyDescent="0.3">
      <c r="A41" s="5" t="str">
        <f>A27</f>
        <v>STEM</v>
      </c>
      <c r="B41" s="5" t="str">
        <f t="shared" si="1"/>
        <v>SPS3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117.87070658439573</v>
      </c>
      <c r="G41" s="1" cm="1">
        <f t="array" ref="G41">SUMPRODUCT(("NGA"=[1]OUT_PrimaryEnergyCons!$C$4:$C$10000)*1,[1]OUT_PrimaryEnergyCons!E$4:E$10000)</f>
        <v>106.71999745754435</v>
      </c>
      <c r="H41" s="1" cm="1">
        <f t="array" ref="H41">SUMPRODUCT(("NGA"=[1]OUT_PrimaryEnergyCons!$C$4:$C$10000)*1,[1]OUT_PrimaryEnergyCons!F$4:F$10000)</f>
        <v>99.266390913362955</v>
      </c>
      <c r="I41" s="1" cm="1">
        <f t="array" ref="I41">SUMPRODUCT(("NGA"=[1]OUT_PrimaryEnergyCons!$C$4:$C$10000)*1,[1]OUT_PrimaryEnergyCons!G$4:G$10000)</f>
        <v>55.838959164653517</v>
      </c>
      <c r="J41" s="1" cm="1">
        <f t="array" ref="J41">SUMPRODUCT(("NGA"=[1]OUT_PrimaryEnergyCons!$C$4:$C$10000)*1,[1]OUT_PrimaryEnergyCons!H$4:H$10000)</f>
        <v>36.130136143255235</v>
      </c>
      <c r="K41" s="1" cm="1">
        <f t="array" ref="K41">SUMPRODUCT(("NGA"=[1]OUT_PrimaryEnergyCons!$C$4:$C$10000)*1,[1]OUT_PrimaryEnergyCons!I$4:I$10000)</f>
        <v>18.428925202267486</v>
      </c>
    </row>
    <row r="42" spans="1:11" x14ac:dyDescent="0.3">
      <c r="A42" s="5" t="str">
        <f t="shared" si="4"/>
        <v>STEM</v>
      </c>
      <c r="B42" s="5" t="str">
        <f t="shared" si="1"/>
        <v>SPS3</v>
      </c>
      <c r="C42" s="5" t="str">
        <f t="shared" si="5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1.7869191430800496E-2</v>
      </c>
      <c r="J42" s="1" cm="1">
        <f t="array" ref="J42">SUMPRODUCT(("LNGA"=[1]OUT_PrimaryEnergyCons!$C$4:$C$10000)*1,[1]OUT_PrimaryEnergyCons!H$4:H$10000)</f>
        <v>2.4944581061925073E-2</v>
      </c>
      <c r="K42" s="1" cm="1">
        <f t="array" ref="K42">SUMPRODUCT(("LNGA"=[1]OUT_PrimaryEnergyCons!$C$4:$C$10000)*1,[1]OUT_PrimaryEnergyCons!I$4:I$10000)</f>
        <v>5.4024096150746374E-3</v>
      </c>
    </row>
    <row r="43" spans="1:11" x14ac:dyDescent="0.3">
      <c r="A43" s="5" t="str">
        <f>A37</f>
        <v>STEM</v>
      </c>
      <c r="B43" s="5" t="str">
        <f t="shared" si="1"/>
        <v>SPS3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0.51632278668465426</v>
      </c>
      <c r="H43" s="1" cm="1">
        <f t="array" ref="H43">SUMPRODUCT(("BIO"=[1]OUT_PrimaryEnergyCons!$C$4:$C$10000)*1+("LBIO"=[1]OUT_PrimaryEnergyCons!$C$4:$C$10000)*1,[1]OUT_PrimaryEnergyCons!F$4:F$10000)</f>
        <v>1.1660336588413265</v>
      </c>
      <c r="I43" s="1" cm="1">
        <f t="array" ref="I43">SUMPRODUCT(("BIO"=[1]OUT_PrimaryEnergyCons!$C$4:$C$10000)*1+("LBIO"=[1]OUT_PrimaryEnergyCons!$C$4:$C$10000)*1,[1]OUT_PrimaryEnergyCons!G$4:G$10000)</f>
        <v>1.6404182215096907E-5</v>
      </c>
      <c r="J43" s="1" cm="1">
        <f t="array" ref="J43">SUMPRODUCT(("BIO"=[1]OUT_PrimaryEnergyCons!$C$4:$C$10000)*1+("LBIO"=[1]OUT_PrimaryEnergyCons!$C$4:$C$10000)*1,[1]OUT_PrimaryEnergyCons!H$4:H$10000)</f>
        <v>2.7384550718853842E-2</v>
      </c>
      <c r="K43" s="1" cm="1">
        <f t="array" ref="K43">SUMPRODUCT(("BIO"=[1]OUT_PrimaryEnergyCons!$C$4:$C$10000)*1+("LBIO"=[1]OUT_PrimaryEnergyCons!$C$4:$C$10000)*1,[1]OUT_PrimaryEnergyCons!I$4:I$10000)</f>
        <v>2.1306001804428991</v>
      </c>
    </row>
    <row r="44" spans="1:11" x14ac:dyDescent="0.3">
      <c r="A44" s="5" t="str">
        <f t="shared" ref="A44:C45" si="22">A43</f>
        <v>STEM</v>
      </c>
      <c r="B44" s="5" t="str">
        <f t="shared" si="1"/>
        <v>SPS3</v>
      </c>
      <c r="C44" s="5" t="str">
        <f t="shared" si="22"/>
        <v>CH</v>
      </c>
      <c r="D44" t="s">
        <v>786</v>
      </c>
      <c r="E44" t="s">
        <v>8</v>
      </c>
      <c r="F44" s="1">
        <f t="shared" ref="F44:K44" si="23">F45</f>
        <v>0</v>
      </c>
      <c r="G44" s="1">
        <f t="shared" si="23"/>
        <v>0.51632278668465426</v>
      </c>
      <c r="H44" s="1">
        <f t="shared" si="23"/>
        <v>1.1660336588413265</v>
      </c>
      <c r="I44" s="1">
        <f t="shared" si="23"/>
        <v>1.6404182215096907E-5</v>
      </c>
      <c r="J44" s="1">
        <f t="shared" si="23"/>
        <v>2.7384550718853842E-2</v>
      </c>
      <c r="K44" s="1">
        <f t="shared" si="23"/>
        <v>1.1660336588413265</v>
      </c>
    </row>
    <row r="45" spans="1:11" x14ac:dyDescent="0.3">
      <c r="A45" s="5" t="str">
        <f t="shared" si="22"/>
        <v>STEM</v>
      </c>
      <c r="B45" s="5" t="str">
        <f t="shared" si="1"/>
        <v>SPS3</v>
      </c>
      <c r="C45" s="5" t="str">
        <f t="shared" si="22"/>
        <v>CH</v>
      </c>
      <c r="D45" t="s">
        <v>611</v>
      </c>
      <c r="E45" t="s">
        <v>8</v>
      </c>
      <c r="F45" s="1">
        <f>F43</f>
        <v>0</v>
      </c>
      <c r="G45" s="1">
        <f>G43</f>
        <v>0.51632278668465426</v>
      </c>
      <c r="H45" s="1">
        <f>H43</f>
        <v>1.1660336588413265</v>
      </c>
      <c r="I45" s="1">
        <f>I43</f>
        <v>1.6404182215096907E-5</v>
      </c>
      <c r="J45" s="1">
        <f>IF(J43-MAX(F43:I43)&lt;0,J43,MAX(F43:I43))</f>
        <v>2.7384550718853842E-2</v>
      </c>
      <c r="K45" s="1">
        <f>IF(K43-MAX(G43:J43)&lt;0,K43,MAX(G43:J43))</f>
        <v>1.1660336588413265</v>
      </c>
    </row>
    <row r="46" spans="1:11" x14ac:dyDescent="0.3">
      <c r="A46" s="5" t="str">
        <f>A44</f>
        <v>STEM</v>
      </c>
      <c r="B46" s="5" t="str">
        <f t="shared" si="1"/>
        <v>SPS3</v>
      </c>
      <c r="C46" s="5" t="str">
        <f>C44</f>
        <v>CH</v>
      </c>
      <c r="D46" t="s">
        <v>787</v>
      </c>
      <c r="E46" t="s">
        <v>8</v>
      </c>
      <c r="F46" s="1">
        <f t="shared" ref="F46:K46" si="24">F47</f>
        <v>0</v>
      </c>
      <c r="G46" s="1">
        <f t="shared" si="24"/>
        <v>0</v>
      </c>
      <c r="H46" s="1">
        <f t="shared" si="24"/>
        <v>0</v>
      </c>
      <c r="I46" s="1">
        <f t="shared" si="24"/>
        <v>0</v>
      </c>
      <c r="J46" s="1">
        <f t="shared" si="24"/>
        <v>0</v>
      </c>
      <c r="K46" s="1">
        <f t="shared" si="24"/>
        <v>0.96456652160157264</v>
      </c>
    </row>
    <row r="47" spans="1:11" x14ac:dyDescent="0.3">
      <c r="A47" s="5" t="str">
        <f t="shared" ref="A47" si="25">A45</f>
        <v>STEM</v>
      </c>
      <c r="B47" s="5" t="str">
        <f t="shared" si="1"/>
        <v>SPS3</v>
      </c>
      <c r="C47" s="5" t="str">
        <f t="shared" ref="C47" si="26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0</v>
      </c>
      <c r="K47" s="1">
        <f>K43-K45</f>
        <v>0.96456652160157264</v>
      </c>
    </row>
    <row r="48" spans="1:11" x14ac:dyDescent="0.3">
      <c r="A48" s="5" t="str">
        <f>A42</f>
        <v>STEM</v>
      </c>
      <c r="B48" s="5" t="str">
        <f t="shared" si="1"/>
        <v>SPS3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250.9485042941028</v>
      </c>
      <c r="G48" s="1" cm="1">
        <f t="array" ref="G48">SUMPRODUCT(("urn"=[1]OUT_PrimaryEnergyCons!$C$4:$C$10000)*1,[1]OUT_PrimaryEnergyCons!E$4:E$10000)</f>
        <v>253.2845331578653</v>
      </c>
      <c r="H48" s="1" cm="1">
        <f t="array" ref="H48">SUMPRODUCT(("urn"=[1]OUT_PrimaryEnergyCons!$C$4:$C$10000)*1,[1]OUT_PrimaryEnergyCons!F$4:F$10000)</f>
        <v>215.81449200800139</v>
      </c>
      <c r="I48" s="1" cm="1">
        <f t="array" ref="I48">SUMPRODUCT(("urn"=[1]OUT_PrimaryEnergyCons!$C$4:$C$10000)*1,[1]OUT_PrimaryEnergyCons!G$4:G$10000)</f>
        <v>209.58451008893789</v>
      </c>
      <c r="J48" s="1" cm="1">
        <f t="array" ref="J48">SUMPRODUCT(("urn"=[1]OUT_PrimaryEnergyCons!$C$4:$C$10000)*1,[1]OUT_PrimaryEnergyCons!H$4:H$10000)</f>
        <v>98.961729178435704</v>
      </c>
      <c r="K48" s="1" cm="1">
        <f t="array" ref="K48">SUMPRODUCT(("urn"=[1]OUT_PrimaryEnergyCons!$C$4:$C$10000)*1,[1]OUT_PrimaryEnergyCons!I$4:I$10000)</f>
        <v>3.70922571507914E-4</v>
      </c>
    </row>
    <row r="49" spans="1:19" x14ac:dyDescent="0.3">
      <c r="A49" s="5" t="str">
        <f>A37</f>
        <v>STEM</v>
      </c>
      <c r="B49" s="5" t="str">
        <f t="shared" si="1"/>
        <v>SPS3</v>
      </c>
      <c r="C49" s="5" t="str">
        <f>C37</f>
        <v>CH</v>
      </c>
      <c r="D49" t="s">
        <v>789</v>
      </c>
      <c r="E49" t="s">
        <v>8</v>
      </c>
      <c r="F49" s="1">
        <f>SUM(F50:F53)</f>
        <v>97.16002008395958</v>
      </c>
      <c r="G49" s="1">
        <f t="shared" ref="G49:K49" si="27">SUM(G50:G53)</f>
        <v>50.282370846126085</v>
      </c>
      <c r="H49" s="1">
        <f t="shared" si="27"/>
        <v>49.010291279049234</v>
      </c>
      <c r="I49" s="1">
        <f t="shared" si="27"/>
        <v>24.049984120845828</v>
      </c>
      <c r="J49" s="1">
        <f t="shared" si="27"/>
        <v>29.218085934432953</v>
      </c>
      <c r="K49" s="1">
        <f t="shared" si="27"/>
        <v>20.819751280184892</v>
      </c>
    </row>
    <row r="50" spans="1:19" x14ac:dyDescent="0.3">
      <c r="A50" s="5" t="str">
        <f t="shared" si="4"/>
        <v>STEM</v>
      </c>
      <c r="B50" s="5" t="str">
        <f t="shared" si="1"/>
        <v>SPS3</v>
      </c>
      <c r="C50" s="5" t="str">
        <f t="shared" si="5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15.013812225847094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7.2101894946406198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3.8810498598673329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1.4999190356361496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4.1995043906015121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3.9373866327747855</v>
      </c>
    </row>
    <row r="51" spans="1:19" x14ac:dyDescent="0.3">
      <c r="A51" s="5" t="str">
        <f t="shared" si="4"/>
        <v>STEM</v>
      </c>
      <c r="B51" s="5" t="str">
        <f t="shared" si="1"/>
        <v>SPS3</v>
      </c>
      <c r="C51" s="5" t="str">
        <f t="shared" si="5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28.948626186349951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24.184550015692537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28.638715036503271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14.464087166058361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10.862150140282486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7.9720164005611052</v>
      </c>
    </row>
    <row r="52" spans="1:19" x14ac:dyDescent="0.3">
      <c r="A52" s="5" t="str">
        <f t="shared" si="4"/>
        <v>STEM</v>
      </c>
      <c r="B52" s="5" t="str">
        <f t="shared" si="1"/>
        <v>SPS3</v>
      </c>
      <c r="C52" s="5" t="str">
        <f t="shared" si="5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46.398479926121468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18.882072353633337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16.485714899582153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8.0840356913198317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14.153722367963764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8.9087600248186263</v>
      </c>
    </row>
    <row r="53" spans="1:19" x14ac:dyDescent="0.3">
      <c r="A53" s="5" t="str">
        <f t="shared" si="4"/>
        <v>STEM</v>
      </c>
      <c r="B53" s="5" t="str">
        <f t="shared" si="1"/>
        <v>SPS3</v>
      </c>
      <c r="C53" s="5" t="str">
        <f t="shared" si="5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6.7991017456410621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5.5589821595926894E-3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4.8114830964805606E-3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1.9422278314832845E-3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2.7090355851865449E-3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1.5882220303746132E-3</v>
      </c>
    </row>
    <row r="54" spans="1:19" x14ac:dyDescent="0.3">
      <c r="A54" s="5" t="str">
        <f t="shared" ref="A54" si="28">A53</f>
        <v>STEM</v>
      </c>
      <c r="B54" s="5" t="str">
        <f t="shared" si="1"/>
        <v>SPS3</v>
      </c>
      <c r="C54" s="5" t="str">
        <f t="shared" ref="C54" si="29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0</v>
      </c>
      <c r="K54" s="1" cm="1">
        <f t="array" ref="K54">SUMPRODUCT(("h2"=[1]OUT_PrimaryEnergyCons!$C$4:$C$10000)*1,[1]OUT_PrimaryEnergyCons!I$4:I$10000)</f>
        <v>0</v>
      </c>
    </row>
    <row r="55" spans="1:19" x14ac:dyDescent="0.3">
      <c r="A55" s="9" t="str">
        <f>A53</f>
        <v>STEM</v>
      </c>
      <c r="B55" s="9" t="str">
        <f t="shared" si="1"/>
        <v>SPS3</v>
      </c>
      <c r="C55" s="2" t="str">
        <f>C53</f>
        <v>CH</v>
      </c>
      <c r="D55" s="2" t="s">
        <v>24</v>
      </c>
      <c r="E55" s="2" t="s">
        <v>8</v>
      </c>
      <c r="F55" s="3">
        <f>F56</f>
        <v>117.17003259577351</v>
      </c>
      <c r="G55" s="3">
        <f t="shared" ref="G55:K55" si="30">G56</f>
        <v>35.794556014846144</v>
      </c>
      <c r="H55" s="3">
        <f t="shared" si="30"/>
        <v>53.366500992325498</v>
      </c>
      <c r="I55" s="3">
        <f t="shared" si="30"/>
        <v>24.049986980518579</v>
      </c>
      <c r="J55" s="3">
        <f t="shared" si="30"/>
        <v>13.691544253837892</v>
      </c>
      <c r="K55" s="3">
        <f t="shared" si="30"/>
        <v>14.149432257926724</v>
      </c>
      <c r="N55" s="1"/>
      <c r="O55" s="1"/>
      <c r="P55" s="1"/>
      <c r="Q55" s="1"/>
      <c r="R55" s="1"/>
      <c r="S55" s="1"/>
    </row>
    <row r="56" spans="1:19" x14ac:dyDescent="0.3">
      <c r="A56" s="5" t="str">
        <f>A55</f>
        <v>STEM</v>
      </c>
      <c r="B56" s="5" t="str">
        <f t="shared" si="1"/>
        <v>SPS3</v>
      </c>
      <c r="C56" s="5" t="str">
        <f t="shared" si="5"/>
        <v>CH</v>
      </c>
      <c r="D56" t="s">
        <v>791</v>
      </c>
      <c r="E56" t="str">
        <f>E55</f>
        <v>PJ/yr.</v>
      </c>
      <c r="F56" s="1">
        <f>SUM(F57:F60)</f>
        <v>117.17003259577351</v>
      </c>
      <c r="G56" s="1">
        <f t="shared" ref="G56:K56" si="31">SUM(G57:G60)</f>
        <v>35.794556014846144</v>
      </c>
      <c r="H56" s="1">
        <f t="shared" si="31"/>
        <v>53.366500992325498</v>
      </c>
      <c r="I56" s="1">
        <f t="shared" si="31"/>
        <v>24.049986980518579</v>
      </c>
      <c r="J56" s="1">
        <f t="shared" si="31"/>
        <v>13.691544253837892</v>
      </c>
      <c r="K56" s="1">
        <f t="shared" si="31"/>
        <v>14.149432257926724</v>
      </c>
      <c r="N56" s="1"/>
    </row>
    <row r="57" spans="1:19" x14ac:dyDescent="0.3">
      <c r="A57" s="5" t="str">
        <f t="shared" ref="A57:A61" si="32">A56</f>
        <v>STEM</v>
      </c>
      <c r="B57" s="5" t="str">
        <f t="shared" si="1"/>
        <v>SPS3</v>
      </c>
      <c r="C57" s="5" t="str">
        <f t="shared" si="5"/>
        <v>CH</v>
      </c>
      <c r="D57" t="s">
        <v>25</v>
      </c>
      <c r="E57" t="str">
        <f t="shared" ref="E57:E60" si="33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6.2295684795970354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8.635432582198975E-3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9.775289351522479E-3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1.6691821905260079E-3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1.6260382827409717E-3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1.1350076394239207E-3</v>
      </c>
    </row>
    <row r="58" spans="1:19" x14ac:dyDescent="0.3">
      <c r="A58" s="5" t="str">
        <f t="shared" si="32"/>
        <v>STEM</v>
      </c>
      <c r="B58" s="5" t="str">
        <f t="shared" si="1"/>
        <v>SPS3</v>
      </c>
      <c r="C58" s="5" t="str">
        <f t="shared" si="5"/>
        <v>CH</v>
      </c>
      <c r="D58" t="s">
        <v>26</v>
      </c>
      <c r="E58" t="str">
        <f t="shared" si="33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12.753368332033777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6.6386484374797126E-3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6.248229575515918E-3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2.5333954873481856E-3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4.8042322979266984E-3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5.6582825468023228E-3</v>
      </c>
    </row>
    <row r="59" spans="1:19" x14ac:dyDescent="0.3">
      <c r="A59" s="5" t="str">
        <f t="shared" si="32"/>
        <v>STEM</v>
      </c>
      <c r="B59" s="5" t="str">
        <f t="shared" si="1"/>
        <v>SPS3</v>
      </c>
      <c r="C59" s="5" t="str">
        <f t="shared" si="5"/>
        <v>CH</v>
      </c>
      <c r="D59" t="s">
        <v>27</v>
      </c>
      <c r="E59" t="str">
        <f t="shared" si="33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26.492987657388174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5.1485964112395772E-3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5.6261950106243838E-3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3.024632498857168E-3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8.5108783313160973E-3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3.099915824837928E-3</v>
      </c>
    </row>
    <row r="60" spans="1:19" x14ac:dyDescent="0.3">
      <c r="A60" s="5" t="str">
        <f t="shared" si="32"/>
        <v>STEM</v>
      </c>
      <c r="B60" s="5" t="str">
        <f t="shared" si="1"/>
        <v>SPS3</v>
      </c>
      <c r="C60" s="5" t="str">
        <f t="shared" si="5"/>
        <v>CH</v>
      </c>
      <c r="D60" t="s">
        <v>28</v>
      </c>
      <c r="E60" t="str">
        <f t="shared" si="33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71.694108126754529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35.774133337415229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53.344851278387836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24.042759770341849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13.676603104925908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14.13953905191566</v>
      </c>
    </row>
    <row r="61" spans="1:19" x14ac:dyDescent="0.3">
      <c r="A61" s="9" t="str">
        <f t="shared" si="32"/>
        <v>STEM</v>
      </c>
      <c r="B61" s="9" t="str">
        <f t="shared" si="1"/>
        <v>SPS3</v>
      </c>
      <c r="C61" s="2" t="str">
        <f t="shared" ref="C61:C62" si="34">C60</f>
        <v>CH</v>
      </c>
      <c r="D61" s="2" t="s">
        <v>29</v>
      </c>
      <c r="E61" s="2" t="s">
        <v>8</v>
      </c>
      <c r="F61" s="3">
        <f>SUM(F62,F64,F68,F80,F128,F149,F157,F159,F167,F171,F165)</f>
        <v>251.33160848562312</v>
      </c>
      <c r="G61" s="3">
        <f t="shared" ref="G61:K61" si="35">SUM(G62,G64,G72,G80,G128,G149,G157,G159,G167,G171,G165)</f>
        <v>229.44754839455263</v>
      </c>
      <c r="H61" s="3">
        <f t="shared" si="35"/>
        <v>292.00276993361337</v>
      </c>
      <c r="I61" s="3">
        <f t="shared" si="35"/>
        <v>262.94289130767794</v>
      </c>
      <c r="J61" s="3">
        <f t="shared" si="35"/>
        <v>269.5675890707675</v>
      </c>
      <c r="K61" s="3">
        <f t="shared" si="35"/>
        <v>275.49986917843762</v>
      </c>
    </row>
    <row r="62" spans="1:19" x14ac:dyDescent="0.3">
      <c r="A62" s="5" t="str">
        <f>A61</f>
        <v>STEM</v>
      </c>
      <c r="B62" s="5" t="str">
        <f t="shared" si="1"/>
        <v>SPS3</v>
      </c>
      <c r="C62" s="5" t="str">
        <f t="shared" si="34"/>
        <v>CH</v>
      </c>
      <c r="D62" t="s">
        <v>792</v>
      </c>
      <c r="E62" t="str">
        <f>E60</f>
        <v>PJ/yr.</v>
      </c>
      <c r="F62" s="1">
        <f>+F63</f>
        <v>82.760006289645816</v>
      </c>
      <c r="G62" s="1">
        <f t="shared" ref="G62:K62" si="36">+G63</f>
        <v>82.755169227982307</v>
      </c>
      <c r="H62" s="1">
        <f t="shared" si="36"/>
        <v>70.327358172828482</v>
      </c>
      <c r="I62" s="1">
        <f t="shared" si="36"/>
        <v>69.19699114701082</v>
      </c>
      <c r="J62" s="1">
        <f t="shared" si="36"/>
        <v>32.820796383167128</v>
      </c>
      <c r="K62" s="1">
        <f t="shared" si="36"/>
        <v>0</v>
      </c>
    </row>
    <row r="63" spans="1:19" x14ac:dyDescent="0.3">
      <c r="A63" s="5" t="str">
        <f t="shared" ref="A63:B147" si="37">A62</f>
        <v>STEM</v>
      </c>
      <c r="B63" s="5" t="str">
        <f t="shared" si="1"/>
        <v>SPS3</v>
      </c>
      <c r="C63" s="5" t="str">
        <f t="shared" ref="C63:C147" si="38">C62</f>
        <v>CH</v>
      </c>
      <c r="D63" t="s">
        <v>30</v>
      </c>
      <c r="E63" t="str">
        <f>E61</f>
        <v>PJ/yr.</v>
      </c>
      <c r="F63" s="1">
        <f>'[1]Electricity and CHPs'!B14</f>
        <v>82.760006289645816</v>
      </c>
      <c r="G63" s="1">
        <f>'[1]Electricity and CHPs'!C14</f>
        <v>82.755169227982307</v>
      </c>
      <c r="H63" s="1">
        <f>'[1]Electricity and CHPs'!D14</f>
        <v>70.327358172828482</v>
      </c>
      <c r="I63" s="1">
        <f>'[1]Electricity and CHPs'!E14</f>
        <v>69.19699114701082</v>
      </c>
      <c r="J63" s="1">
        <f>'[1]Electricity and CHPs'!F14</f>
        <v>32.820796383167128</v>
      </c>
      <c r="K63" s="1">
        <f>'[1]Electricity and CHPs'!G14</f>
        <v>0</v>
      </c>
    </row>
    <row r="64" spans="1:19" x14ac:dyDescent="0.3">
      <c r="A64" s="5" t="str">
        <f t="shared" si="37"/>
        <v>STEM</v>
      </c>
      <c r="B64" s="5" t="str">
        <f t="shared" si="1"/>
        <v>SPS3</v>
      </c>
      <c r="C64" s="5" t="str">
        <f t="shared" si="38"/>
        <v>CH</v>
      </c>
      <c r="D64" t="s">
        <v>793</v>
      </c>
      <c r="E64" t="str">
        <f>E63</f>
        <v>PJ/yr.</v>
      </c>
      <c r="F64" s="1">
        <f>SUM(F65:F67)</f>
        <v>146.22003090325018</v>
      </c>
      <c r="G64" s="1">
        <f t="shared" ref="G64:K64" si="39">SUM(G65:G67)</f>
        <v>121.61582365622026</v>
      </c>
      <c r="H64" s="1">
        <f t="shared" si="39"/>
        <v>179.64026909089054</v>
      </c>
      <c r="I64" s="1">
        <f t="shared" si="39"/>
        <v>147.68227032216359</v>
      </c>
      <c r="J64" s="1">
        <f t="shared" si="39"/>
        <v>148.87341902270146</v>
      </c>
      <c r="K64" s="1">
        <f t="shared" si="39"/>
        <v>149.19926503545838</v>
      </c>
    </row>
    <row r="65" spans="1:11" x14ac:dyDescent="0.3">
      <c r="A65" s="5" t="str">
        <f t="shared" si="37"/>
        <v>STEM</v>
      </c>
      <c r="B65" s="5" t="str">
        <f t="shared" si="1"/>
        <v>SPS3</v>
      </c>
      <c r="C65" s="5" t="str">
        <f t="shared" si="38"/>
        <v>CH</v>
      </c>
      <c r="D65" t="s">
        <v>31</v>
      </c>
      <c r="E65" t="str">
        <f>E63</f>
        <v>PJ/yr.</v>
      </c>
      <c r="F65" s="1">
        <f>'[1]Electricity and CHPs'!B15</f>
        <v>66.745680242457198</v>
      </c>
      <c r="G65" s="1">
        <f>'[1]Electricity and CHPs'!C15</f>
        <v>49.798772798818447</v>
      </c>
      <c r="H65" s="1">
        <f>'[1]Electricity and CHPs'!D15</f>
        <v>68.44373040175482</v>
      </c>
      <c r="I65" s="1">
        <f>'[1]Electricity and CHPs'!E15</f>
        <v>68.180550216121247</v>
      </c>
      <c r="J65" s="1">
        <f>'[1]Electricity and CHPs'!F15</f>
        <v>71.199673773627197</v>
      </c>
      <c r="K65" s="1">
        <f>'[1]Electricity and CHPs'!G15</f>
        <v>70.392364007093917</v>
      </c>
    </row>
    <row r="66" spans="1:11" x14ac:dyDescent="0.3">
      <c r="A66" s="5" t="str">
        <f t="shared" si="37"/>
        <v>STEM</v>
      </c>
      <c r="B66" s="5" t="str">
        <f t="shared" si="1"/>
        <v>SPS3</v>
      </c>
      <c r="C66" s="5" t="str">
        <f t="shared" si="38"/>
        <v>CH</v>
      </c>
      <c r="D66" t="s">
        <v>32</v>
      </c>
      <c r="E66" t="str">
        <f t="shared" ref="E66:E67" si="40">E65</f>
        <v>PJ/yr.</v>
      </c>
      <c r="F66" s="1">
        <f>'[1]Electricity and CHPs'!B16</f>
        <v>66.632414534993345</v>
      </c>
      <c r="G66" s="1">
        <f>'[1]Electricity and CHPs'!C16</f>
        <v>55.763997394256521</v>
      </c>
      <c r="H66" s="1">
        <f>'[1]Electricity and CHPs'!D16</f>
        <v>65.64174178742968</v>
      </c>
      <c r="I66" s="1">
        <f>'[1]Electricity and CHPs'!E16</f>
        <v>66.967551450462892</v>
      </c>
      <c r="J66" s="1">
        <f>'[1]Electricity and CHPs'!F16</f>
        <v>64.786803230896652</v>
      </c>
      <c r="K66" s="1">
        <f>'[1]Electricity and CHPs'!G16</f>
        <v>65.594080260553554</v>
      </c>
    </row>
    <row r="67" spans="1:11" x14ac:dyDescent="0.3">
      <c r="A67" s="5" t="str">
        <f t="shared" si="37"/>
        <v>STEM</v>
      </c>
      <c r="B67" s="5" t="str">
        <f t="shared" si="37"/>
        <v>SPS3</v>
      </c>
      <c r="C67" s="5" t="str">
        <f t="shared" si="38"/>
        <v>CH</v>
      </c>
      <c r="D67" t="s">
        <v>33</v>
      </c>
      <c r="E67" t="str">
        <f t="shared" si="40"/>
        <v>PJ/yr.</v>
      </c>
      <c r="F67" s="1">
        <f>'[1]Electricity and CHPs'!B17</f>
        <v>12.841936125799627</v>
      </c>
      <c r="G67" s="1">
        <f>'[1]Electricity and CHPs'!C17</f>
        <v>16.053053463145289</v>
      </c>
      <c r="H67" s="1">
        <f>'[1]Electricity and CHPs'!D17</f>
        <v>45.554796901706062</v>
      </c>
      <c r="I67" s="1">
        <f>'[1]Electricity and CHPs'!E17</f>
        <v>12.534168655579458</v>
      </c>
      <c r="J67" s="1">
        <f>'[1]Electricity and CHPs'!F17</f>
        <v>12.886942018177606</v>
      </c>
      <c r="K67" s="1">
        <f>'[1]Electricity and CHPs'!G17</f>
        <v>13.212820767810896</v>
      </c>
    </row>
    <row r="68" spans="1:11" x14ac:dyDescent="0.3">
      <c r="A68" s="5" t="str">
        <f>A59</f>
        <v>STEM</v>
      </c>
      <c r="B68" s="5" t="str">
        <f t="shared" si="37"/>
        <v>SPS3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0.11193391591975643</v>
      </c>
      <c r="G68" s="1">
        <f t="shared" ref="G68" si="41">SUM(G69:G71)</f>
        <v>0.1715366988939436</v>
      </c>
      <c r="H68" s="1">
        <f t="shared" ref="H68" si="42">SUM(H69:H71)</f>
        <v>1.989347668030305E-2</v>
      </c>
      <c r="I68" s="1">
        <f t="shared" ref="I68" si="43">SUM(I69:I71)</f>
        <v>3.9588335032322676E-3</v>
      </c>
      <c r="J68" s="1">
        <f t="shared" ref="J68" si="44">SUM(J69:J71)</f>
        <v>0.17165601519037543</v>
      </c>
      <c r="K68" s="1">
        <f t="shared" ref="K68" si="45">SUM(K69:K71)</f>
        <v>0.17158314031633728</v>
      </c>
    </row>
    <row r="69" spans="1:11" x14ac:dyDescent="0.3">
      <c r="A69" s="5" t="str">
        <f>A68</f>
        <v>STEM</v>
      </c>
      <c r="B69" s="5" t="str">
        <f t="shared" si="37"/>
        <v>SPS3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3.9608410843525725E-2</v>
      </c>
      <c r="G69" s="1">
        <f>'[1]Electricity and CHPs'!C18</f>
        <v>1.3921485683043286E-4</v>
      </c>
      <c r="H69" s="1">
        <f>'[1]Electricity and CHPs'!D18</f>
        <v>9.3505894191459552E-3</v>
      </c>
      <c r="I69" s="1">
        <f>'[1]Electricity and CHPs'!E18</f>
        <v>1.4216214410747597E-3</v>
      </c>
      <c r="J69" s="1">
        <f>'[1]Electricity and CHPs'!F18</f>
        <v>2.50214481963484E-3</v>
      </c>
      <c r="K69" s="1">
        <f>'[1]Electricity and CHPs'!G18</f>
        <v>3.7792216910265357E-5</v>
      </c>
    </row>
    <row r="70" spans="1:11" x14ac:dyDescent="0.3">
      <c r="A70" s="5" t="str">
        <f t="shared" ref="A70:A71" si="46">A69</f>
        <v>STEM</v>
      </c>
      <c r="B70" s="5" t="str">
        <f t="shared" si="37"/>
        <v>SPS3</v>
      </c>
      <c r="C70" s="5" t="str">
        <f t="shared" ref="C70:C71" si="47">C69</f>
        <v>CH</v>
      </c>
      <c r="D70" t="s">
        <v>228</v>
      </c>
      <c r="E70" t="str">
        <f>E124</f>
        <v>PJ/yr.</v>
      </c>
      <c r="F70" s="1">
        <f>'[1]Electricity and CHPs'!B28</f>
        <v>1.8084137352322917E-3</v>
      </c>
      <c r="G70" s="1">
        <f>'[1]Electricity and CHPs'!C28</f>
        <v>8.8291036756263613E-5</v>
      </c>
      <c r="H70" s="1">
        <f>'[1]Electricity and CHPs'!D28</f>
        <v>3.2203973062110243E-3</v>
      </c>
      <c r="I70" s="1">
        <f>'[1]Electricity and CHPs'!E28</f>
        <v>2.5218880109489114E-3</v>
      </c>
      <c r="J70" s="1">
        <f>'[1]Electricity and CHPs'!F28</f>
        <v>7.246811653390528E-4</v>
      </c>
      <c r="K70" s="1">
        <f>'[1]Electricity and CHPs'!G28</f>
        <v>1.0081082329861472E-5</v>
      </c>
    </row>
    <row r="71" spans="1:11" x14ac:dyDescent="0.3">
      <c r="A71" s="5" t="str">
        <f t="shared" si="46"/>
        <v>STEM</v>
      </c>
      <c r="B71" s="5" t="str">
        <f t="shared" si="37"/>
        <v>SPS3</v>
      </c>
      <c r="C71" s="5" t="str">
        <f t="shared" si="47"/>
        <v>CH</v>
      </c>
      <c r="D71" t="s">
        <v>40</v>
      </c>
      <c r="E71" t="str">
        <f>E79</f>
        <v>PJ/yr.</v>
      </c>
      <c r="F71" s="1">
        <f>'[1]Electricity and CHPs'!B41</f>
        <v>7.0517091340998414E-2</v>
      </c>
      <c r="G71" s="1">
        <f>'[1]Electricity and CHPs'!C41</f>
        <v>0.17130919300035691</v>
      </c>
      <c r="H71" s="1">
        <f>'[1]Electricity and CHPs'!D41</f>
        <v>7.3224899549460733E-3</v>
      </c>
      <c r="I71" s="1">
        <f>'[1]Electricity and CHPs'!E41</f>
        <v>1.5324051208595847E-5</v>
      </c>
      <c r="J71" s="1">
        <f>'[1]Electricity and CHPs'!F41</f>
        <v>0.16842918920540154</v>
      </c>
      <c r="K71" s="1">
        <f>'[1]Electricity and CHPs'!G41</f>
        <v>0.17153526701709715</v>
      </c>
    </row>
    <row r="72" spans="1:11" x14ac:dyDescent="0.3">
      <c r="A72" s="5" t="str">
        <f>A67</f>
        <v>STEM</v>
      </c>
      <c r="B72" s="5" t="str">
        <f t="shared" si="37"/>
        <v>SPS3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0.11193391591975643</v>
      </c>
      <c r="G72" s="1">
        <f t="shared" ref="G72:K72" si="48">SUM(G73:G75)</f>
        <v>0.1715366988939436</v>
      </c>
      <c r="H72" s="1">
        <f t="shared" si="48"/>
        <v>1.989347668030305E-2</v>
      </c>
      <c r="I72" s="1">
        <f t="shared" si="48"/>
        <v>3.9588335032322676E-3</v>
      </c>
      <c r="J72" s="1">
        <f t="shared" si="48"/>
        <v>0.17165601519037543</v>
      </c>
      <c r="K72" s="1">
        <f t="shared" si="48"/>
        <v>0.17158314031633728</v>
      </c>
    </row>
    <row r="73" spans="1:11" x14ac:dyDescent="0.3">
      <c r="A73" s="5" t="str">
        <f>A72</f>
        <v>STEM</v>
      </c>
      <c r="B73" s="5" t="str">
        <f t="shared" si="37"/>
        <v>SPS3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3.9608410843525725E-2</v>
      </c>
      <c r="G73" s="1">
        <f t="shared" ref="G73:K73" si="49">G69</f>
        <v>1.3921485683043286E-4</v>
      </c>
      <c r="H73" s="1">
        <f t="shared" si="49"/>
        <v>9.3505894191459552E-3</v>
      </c>
      <c r="I73" s="1">
        <f t="shared" si="49"/>
        <v>1.4216214410747597E-3</v>
      </c>
      <c r="J73" s="1">
        <f t="shared" si="49"/>
        <v>2.50214481963484E-3</v>
      </c>
      <c r="K73" s="1">
        <f t="shared" si="49"/>
        <v>3.7792216910265357E-5</v>
      </c>
    </row>
    <row r="74" spans="1:11" x14ac:dyDescent="0.3">
      <c r="A74" s="5" t="str">
        <f t="shared" si="37"/>
        <v>STEM</v>
      </c>
      <c r="B74" s="5" t="str">
        <f t="shared" si="37"/>
        <v>SPS3</v>
      </c>
      <c r="C74" s="5" t="str">
        <f t="shared" si="38"/>
        <v>CH</v>
      </c>
      <c r="D74" t="s">
        <v>515</v>
      </c>
      <c r="E74" t="str">
        <f>E132</f>
        <v>PJ/yr.</v>
      </c>
      <c r="F74" s="1">
        <f>'[1]Electricity and CHPs'!B28</f>
        <v>1.8084137352322917E-3</v>
      </c>
      <c r="G74" s="1">
        <f>'[1]Electricity and CHPs'!C28</f>
        <v>8.8291036756263613E-5</v>
      </c>
      <c r="H74" s="1">
        <f>'[1]Electricity and CHPs'!D28</f>
        <v>3.2203973062110243E-3</v>
      </c>
      <c r="I74" s="1">
        <f>'[1]Electricity and CHPs'!E28</f>
        <v>2.5218880109489114E-3</v>
      </c>
      <c r="J74" s="1">
        <f>'[1]Electricity and CHPs'!F28</f>
        <v>7.246811653390528E-4</v>
      </c>
      <c r="K74" s="1">
        <f>'[1]Electricity and CHPs'!G28</f>
        <v>1.0081082329861472E-5</v>
      </c>
    </row>
    <row r="75" spans="1:11" x14ac:dyDescent="0.3">
      <c r="A75" s="5" t="str">
        <f t="shared" si="37"/>
        <v>STEM</v>
      </c>
      <c r="B75" s="5" t="str">
        <f t="shared" si="37"/>
        <v>SPS3</v>
      </c>
      <c r="C75" s="5" t="str">
        <f t="shared" si="38"/>
        <v>CH</v>
      </c>
      <c r="D75" t="s">
        <v>516</v>
      </c>
      <c r="E75" t="str">
        <f>E87</f>
        <v>PJ/yr.</v>
      </c>
      <c r="F75" s="1">
        <f>'[1]Electricity and CHPs'!B41</f>
        <v>7.0517091340998414E-2</v>
      </c>
      <c r="G75" s="1">
        <f>'[1]Electricity and CHPs'!C41</f>
        <v>0.17130919300035691</v>
      </c>
      <c r="H75" s="1">
        <f>'[1]Electricity and CHPs'!D41</f>
        <v>7.3224899549460733E-3</v>
      </c>
      <c r="I75" s="1">
        <f>'[1]Electricity and CHPs'!E41</f>
        <v>1.5324051208595847E-5</v>
      </c>
      <c r="J75" s="1">
        <f>'[1]Electricity and CHPs'!F41</f>
        <v>0.16842918920540154</v>
      </c>
      <c r="K75" s="1">
        <f>'[1]Electricity and CHPs'!G41</f>
        <v>0.17153526701709715</v>
      </c>
    </row>
    <row r="76" spans="1:11" x14ac:dyDescent="0.3">
      <c r="A76" s="5" t="str">
        <f t="shared" ref="A76:C77" si="50">A74</f>
        <v>STEM</v>
      </c>
      <c r="B76" s="5" t="str">
        <f t="shared" si="37"/>
        <v>SPS3</v>
      </c>
      <c r="C76" s="5" t="str">
        <f t="shared" si="50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1">SUM(G77:G79)</f>
        <v>0</v>
      </c>
      <c r="H76" s="1">
        <f t="shared" si="51"/>
        <v>0</v>
      </c>
      <c r="I76" s="1">
        <f t="shared" si="51"/>
        <v>0</v>
      </c>
      <c r="J76" s="1">
        <f t="shared" si="51"/>
        <v>0</v>
      </c>
      <c r="K76" s="1">
        <f t="shared" si="51"/>
        <v>0</v>
      </c>
    </row>
    <row r="77" spans="1:11" x14ac:dyDescent="0.3">
      <c r="A77" s="5" t="str">
        <f t="shared" si="50"/>
        <v>STEM</v>
      </c>
      <c r="B77" s="5" t="str">
        <f t="shared" si="37"/>
        <v>SPS3</v>
      </c>
      <c r="C77" s="5" t="str">
        <f t="shared" si="50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3">
      <c r="A78" s="5" t="str">
        <f t="shared" si="37"/>
        <v>STEM</v>
      </c>
      <c r="B78" s="5" t="str">
        <f t="shared" si="37"/>
        <v>SPS3</v>
      </c>
      <c r="C78" s="5" t="str">
        <f t="shared" si="38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3">
      <c r="A79" s="5" t="str">
        <f t="shared" si="37"/>
        <v>STEM</v>
      </c>
      <c r="B79" s="5" t="str">
        <f t="shared" si="37"/>
        <v>SPS3</v>
      </c>
      <c r="C79" s="5" t="str">
        <f t="shared" si="38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3">
      <c r="A80" s="5" t="str">
        <f t="shared" si="37"/>
        <v>STEM</v>
      </c>
      <c r="B80" s="5" t="str">
        <f t="shared" si="37"/>
        <v>SPS3</v>
      </c>
      <c r="C80" s="5" t="str">
        <f t="shared" si="38"/>
        <v>CH</v>
      </c>
      <c r="D80" t="s">
        <v>797</v>
      </c>
      <c r="E80" t="str">
        <f>E129</f>
        <v>PJ/yr.</v>
      </c>
      <c r="F80" s="1">
        <f>SUM(F81:F95)</f>
        <v>3.2737247162043288</v>
      </c>
      <c r="G80" s="1">
        <f t="shared" ref="G80:K80" si="52">SUM(G81:G95)</f>
        <v>1.8277097598701206</v>
      </c>
      <c r="H80" s="1">
        <f t="shared" si="52"/>
        <v>1.2291723886570884</v>
      </c>
      <c r="I80" s="1">
        <f t="shared" si="52"/>
        <v>1.1295992868119578</v>
      </c>
      <c r="J80" s="1">
        <f t="shared" si="52"/>
        <v>6.5942466030033522</v>
      </c>
      <c r="K80" s="1">
        <f t="shared" si="52"/>
        <v>6.9572497440121479</v>
      </c>
    </row>
    <row r="81" spans="1:11" x14ac:dyDescent="0.3">
      <c r="A81" s="5" t="str">
        <f t="shared" si="37"/>
        <v>STEM</v>
      </c>
      <c r="B81" s="5" t="str">
        <f t="shared" si="37"/>
        <v>SPS3</v>
      </c>
      <c r="C81" s="5" t="str">
        <f t="shared" si="38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0.28856591731128578</v>
      </c>
      <c r="K81" s="1">
        <f>'[1]Electricity and CHPs'!G21</f>
        <v>1.78249039082762E-2</v>
      </c>
    </row>
    <row r="82" spans="1:11" x14ac:dyDescent="0.3">
      <c r="A82" s="5" t="str">
        <f t="shared" si="37"/>
        <v>STEM</v>
      </c>
      <c r="B82" s="5" t="str">
        <f t="shared" si="37"/>
        <v>SPS3</v>
      </c>
      <c r="C82" s="5" t="str">
        <f t="shared" si="38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0</v>
      </c>
      <c r="H82" s="1">
        <f>'[1]Electricity and CHPs'!D22</f>
        <v>0</v>
      </c>
      <c r="I82" s="1">
        <f>'[1]Electricity and CHPs'!E22</f>
        <v>1.3621683746791645E-4</v>
      </c>
      <c r="J82" s="1">
        <f>'[1]Electricity and CHPs'!F22</f>
        <v>0.10434653297075876</v>
      </c>
      <c r="K82" s="1">
        <f>'[1]Electricity and CHPs'!G22</f>
        <v>2.6842247670479158E-2</v>
      </c>
    </row>
    <row r="83" spans="1:11" x14ac:dyDescent="0.3">
      <c r="A83" s="5" t="str">
        <f t="shared" si="37"/>
        <v>STEM</v>
      </c>
      <c r="B83" s="5" t="str">
        <f t="shared" si="37"/>
        <v>SPS3</v>
      </c>
      <c r="C83" s="5" t="str">
        <f t="shared" si="38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1.7740379914640107E-2</v>
      </c>
      <c r="K83" s="1">
        <f>'[1]Electricity and CHPs'!G23</f>
        <v>4.1307602872421114</v>
      </c>
    </row>
    <row r="84" spans="1:11" x14ac:dyDescent="0.3">
      <c r="A84" s="5" t="str">
        <f t="shared" si="37"/>
        <v>STEM</v>
      </c>
      <c r="B84" s="5" t="str">
        <f t="shared" si="37"/>
        <v>SPS3</v>
      </c>
      <c r="C84" s="5" t="str">
        <f t="shared" si="38"/>
        <v>CH</v>
      </c>
      <c r="D84" t="s">
        <v>38</v>
      </c>
      <c r="E84" t="str">
        <f>E83</f>
        <v>PJ/yr.</v>
      </c>
      <c r="F84" s="1">
        <f>'[1]Electricity and CHPs'!B24</f>
        <v>0.96588833998255996</v>
      </c>
      <c r="G84" s="1">
        <f>'[1]Electricity and CHPs'!C24</f>
        <v>4.3824211558758593E-4</v>
      </c>
      <c r="H84" s="1">
        <f>'[1]Electricity and CHPs'!D24</f>
        <v>1.0007293758609995E-2</v>
      </c>
      <c r="I84" s="1">
        <f>'[1]Electricity and CHPs'!E24</f>
        <v>1.018394490923606E-4</v>
      </c>
      <c r="J84" s="1">
        <f>'[1]Electricity and CHPs'!F24</f>
        <v>3.3356260647469638E-3</v>
      </c>
      <c r="K84" s="1">
        <f>'[1]Electricity and CHPs'!G24</f>
        <v>2.545837522150751E-3</v>
      </c>
    </row>
    <row r="85" spans="1:11" x14ac:dyDescent="0.3">
      <c r="A85" s="5" t="str">
        <f t="shared" si="37"/>
        <v>STEM</v>
      </c>
      <c r="B85" s="5" t="str">
        <f t="shared" si="37"/>
        <v>SPS3</v>
      </c>
      <c r="C85" s="5" t="str">
        <f t="shared" si="38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8.890550254674565E-3</v>
      </c>
      <c r="K85" s="1">
        <f>'[1]Electricity and CHPs'!G29</f>
        <v>9.4890766805761067E-3</v>
      </c>
    </row>
    <row r="86" spans="1:11" x14ac:dyDescent="0.3">
      <c r="A86" s="5" t="str">
        <f t="shared" si="37"/>
        <v>STEM</v>
      </c>
      <c r="B86" s="5" t="str">
        <f t="shared" si="37"/>
        <v>SPS3</v>
      </c>
      <c r="C86" s="5" t="str">
        <f t="shared" si="38"/>
        <v>CH</v>
      </c>
      <c r="D86" t="s">
        <v>41</v>
      </c>
      <c r="E86" t="str">
        <f>E164</f>
        <v>PJ/yr.</v>
      </c>
      <c r="F86" s="1">
        <f>'[1]Electricity and CHPs'!B39</f>
        <v>0.67000201811261206</v>
      </c>
      <c r="G86" s="1">
        <f>'[1]Electricity and CHPs'!C39</f>
        <v>9.0647948563014752E-2</v>
      </c>
      <c r="H86" s="1">
        <f>'[1]Electricity and CHPs'!D39</f>
        <v>4.9557839364059761E-2</v>
      </c>
      <c r="I86" s="1">
        <f>'[1]Electricity and CHPs'!E39</f>
        <v>2.3255373020541585E-2</v>
      </c>
      <c r="J86" s="1">
        <f>'[1]Electricity and CHPs'!F39</f>
        <v>2.7833325562331951E-2</v>
      </c>
      <c r="K86" s="1">
        <f>'[1]Electricity and CHPs'!G39</f>
        <v>3.7305962691722497E-2</v>
      </c>
    </row>
    <row r="87" spans="1:11" x14ac:dyDescent="0.3">
      <c r="A87" s="5" t="str">
        <f t="shared" si="37"/>
        <v>STEM</v>
      </c>
      <c r="B87" s="5" t="str">
        <f t="shared" si="37"/>
        <v>SPS3</v>
      </c>
      <c r="C87" s="5" t="str">
        <f t="shared" si="38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6.0504984803536315E-3</v>
      </c>
      <c r="K87" s="1">
        <f>'[1]Electricity and CHPs'!G40</f>
        <v>2.1694411098479922E-2</v>
      </c>
    </row>
    <row r="88" spans="1:11" x14ac:dyDescent="0.3">
      <c r="A88" s="5" t="str">
        <f t="shared" si="37"/>
        <v>STEM</v>
      </c>
      <c r="B88" s="5" t="str">
        <f t="shared" si="37"/>
        <v>SPS3</v>
      </c>
      <c r="C88" s="5" t="str">
        <f t="shared" si="38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0</v>
      </c>
      <c r="J88" s="1">
        <f>'[1]Electricity and CHPs'!F47</f>
        <v>0.27184434820213316</v>
      </c>
      <c r="K88" s="1">
        <f>'[1]Electricity and CHPs'!G47</f>
        <v>8.2602635480700071E-2</v>
      </c>
    </row>
    <row r="89" spans="1:11" x14ac:dyDescent="0.3">
      <c r="A89" s="5" t="str">
        <f t="shared" si="37"/>
        <v>STEM</v>
      </c>
      <c r="B89" s="5" t="str">
        <f t="shared" si="37"/>
        <v>SPS3</v>
      </c>
      <c r="C89" s="5" t="str">
        <f t="shared" si="38"/>
        <v>CH</v>
      </c>
      <c r="D89" t="s">
        <v>44</v>
      </c>
      <c r="E89" t="str">
        <f>E88</f>
        <v>PJ/yr.</v>
      </c>
      <c r="F89" s="1">
        <f>'[1]Electricity and CHPs'!B48</f>
        <v>3.2425262075854687E-2</v>
      </c>
      <c r="G89" s="1">
        <f>'[1]Electricity and CHPs'!C48</f>
        <v>2.1350392563371408E-3</v>
      </c>
      <c r="H89" s="1">
        <f>'[1]Electricity and CHPs'!D48</f>
        <v>8.3738074697353327E-3</v>
      </c>
      <c r="I89" s="1">
        <f>'[1]Electricity and CHPs'!E48</f>
        <v>1.9713616508919523E-5</v>
      </c>
      <c r="J89" s="1">
        <f>'[1]Electricity and CHPs'!F48</f>
        <v>2.1990631277151944E-2</v>
      </c>
      <c r="K89" s="1">
        <f>'[1]Electricity and CHPs'!G48</f>
        <v>1.989677000416961E-2</v>
      </c>
    </row>
    <row r="90" spans="1:11" x14ac:dyDescent="0.3">
      <c r="A90" s="5" t="str">
        <f t="shared" si="37"/>
        <v>STEM</v>
      </c>
      <c r="B90" s="5" t="str">
        <f t="shared" si="37"/>
        <v>SPS3</v>
      </c>
      <c r="C90" s="5" t="str">
        <f t="shared" si="38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2.7892477410129668E-5</v>
      </c>
      <c r="J90" s="1">
        <f>'[1]Electricity and CHPs'!F49</f>
        <v>9.3781626972336586E-3</v>
      </c>
      <c r="K90" s="1">
        <f>'[1]Electricity and CHPs'!G49</f>
        <v>7.9229130178786588E-3</v>
      </c>
    </row>
    <row r="91" spans="1:11" x14ac:dyDescent="0.3">
      <c r="A91" s="5" t="str">
        <f t="shared" si="37"/>
        <v>STEM</v>
      </c>
      <c r="B91" s="5" t="str">
        <f t="shared" si="37"/>
        <v>SPS3</v>
      </c>
      <c r="C91" s="5" t="str">
        <f t="shared" si="38"/>
        <v>CH</v>
      </c>
      <c r="D91" t="s">
        <v>46</v>
      </c>
      <c r="E91" t="str">
        <f>E154</f>
        <v>PJ/yr.</v>
      </c>
      <c r="F91" s="1">
        <f>'[1]Electricity and CHPs'!B51</f>
        <v>5.1594132081549338E-2</v>
      </c>
      <c r="G91" s="1">
        <f>'[1]Electricity and CHPs'!C51</f>
        <v>2.5585618966491868E-3</v>
      </c>
      <c r="H91" s="1">
        <f>'[1]Electricity and CHPs'!D51</f>
        <v>2.9891214934208356E-2</v>
      </c>
      <c r="I91" s="1">
        <f>'[1]Electricity and CHPs'!E51</f>
        <v>2.05837383877522E-5</v>
      </c>
      <c r="J91" s="1">
        <f>'[1]Electricity and CHPs'!F51</f>
        <v>0.88056734550327853</v>
      </c>
      <c r="K91" s="1">
        <f>'[1]Electricity and CHPs'!G51</f>
        <v>0.62416576435201354</v>
      </c>
    </row>
    <row r="92" spans="1:11" x14ac:dyDescent="0.3">
      <c r="A92" s="5" t="str">
        <f t="shared" si="37"/>
        <v>STEM</v>
      </c>
      <c r="B92" s="5" t="str">
        <f t="shared" si="37"/>
        <v>SPS3</v>
      </c>
      <c r="C92" s="5" t="str">
        <f t="shared" si="38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2.6470163310429303E-5</v>
      </c>
      <c r="J92" s="1">
        <f>'[1]Electricity and CHPs'!F52</f>
        <v>0.11181318318629538</v>
      </c>
      <c r="K92" s="1">
        <f>'[1]Electricity and CHPs'!G52</f>
        <v>0.10701929218669287</v>
      </c>
    </row>
    <row r="93" spans="1:11" x14ac:dyDescent="0.3">
      <c r="A93" s="5" t="str">
        <f t="shared" si="37"/>
        <v>STEM</v>
      </c>
      <c r="B93" s="5" t="str">
        <f t="shared" si="37"/>
        <v>SPS3</v>
      </c>
      <c r="C93" s="5" t="str">
        <f t="shared" si="38"/>
        <v>CH</v>
      </c>
      <c r="D93" t="s">
        <v>84</v>
      </c>
      <c r="E93" t="str">
        <f>E155</f>
        <v>PJ/yr.</v>
      </c>
      <c r="F93" s="1">
        <f>'[1]Electricity and CHPs'!B54</f>
        <v>0.95937694005854024</v>
      </c>
      <c r="G93" s="1">
        <f>'[1]Electricity and CHPs'!C54</f>
        <v>1.1059730139465545</v>
      </c>
      <c r="H93" s="1">
        <f>'[1]Electricity and CHPs'!D54</f>
        <v>1.1059707892769557</v>
      </c>
      <c r="I93" s="1">
        <f>'[1]Electricity and CHPs'!E54</f>
        <v>1.1059691131813003</v>
      </c>
      <c r="J93" s="1">
        <f>'[1]Electricity and CHPs'!F54</f>
        <v>1.8318693706389726</v>
      </c>
      <c r="K93" s="1">
        <f>'[1]Electricity and CHPs'!G54</f>
        <v>1.8319091411887869</v>
      </c>
    </row>
    <row r="94" spans="1:11" x14ac:dyDescent="0.3">
      <c r="A94" s="5" t="str">
        <f t="shared" si="37"/>
        <v>STEM</v>
      </c>
      <c r="B94" s="5" t="str">
        <f t="shared" si="37"/>
        <v>SPS3</v>
      </c>
      <c r="C94" s="5" t="str">
        <f t="shared" si="38"/>
        <v>CH</v>
      </c>
      <c r="D94" t="s">
        <v>85</v>
      </c>
      <c r="E94" t="str">
        <f>E93</f>
        <v>PJ/yr.</v>
      </c>
      <c r="F94" s="1">
        <f>'[1]Electricity and CHPs'!B55</f>
        <v>0.59443802389321243</v>
      </c>
      <c r="G94" s="1">
        <f>'[1]Electricity and CHPs'!C55</f>
        <v>0.62595695409197749</v>
      </c>
      <c r="H94" s="1">
        <f>'[1]Electricity and CHPs'!D55</f>
        <v>2.5371443853519277E-2</v>
      </c>
      <c r="I94" s="1">
        <f>'[1]Electricity and CHPs'!E55</f>
        <v>8.2229131982260463E-6</v>
      </c>
      <c r="J94" s="1">
        <f>'[1]Electricity and CHPs'!F55</f>
        <v>2.9269233076854606</v>
      </c>
      <c r="K94" s="1">
        <f>'[1]Electricity and CHPs'!G55</f>
        <v>2.9199764193171504E-3</v>
      </c>
    </row>
    <row r="95" spans="1:11" x14ac:dyDescent="0.3">
      <c r="A95" s="5" t="str">
        <f t="shared" si="37"/>
        <v>STEM</v>
      </c>
      <c r="B95" s="5" t="str">
        <f t="shared" si="37"/>
        <v>SPS3</v>
      </c>
      <c r="C95" s="5" t="str">
        <f t="shared" si="38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3.3861414740063988E-5</v>
      </c>
      <c r="J95" s="1">
        <f>'[1]Electricity and CHPs'!F58</f>
        <v>8.3097423254034714E-2</v>
      </c>
      <c r="K95" s="1">
        <f>'[1]Electricity and CHPs'!G58</f>
        <v>3.4350524548793004E-2</v>
      </c>
    </row>
    <row r="96" spans="1:11" x14ac:dyDescent="0.3">
      <c r="A96" s="5" t="str">
        <f t="shared" ref="A96:A111" si="53">A95</f>
        <v>STEM</v>
      </c>
      <c r="B96" s="5" t="str">
        <f t="shared" si="37"/>
        <v>SPS3</v>
      </c>
      <c r="C96" s="5" t="str">
        <f t="shared" ref="C96:C111" si="54">C95</f>
        <v>CH</v>
      </c>
      <c r="D96" t="s">
        <v>798</v>
      </c>
      <c r="E96" t="str">
        <f t="shared" ref="E96:E106" si="55">E171</f>
        <v>PJ/yr.</v>
      </c>
      <c r="F96" s="1">
        <f>F80-F112</f>
        <v>2.2544059723468015</v>
      </c>
      <c r="G96" s="1">
        <f t="shared" ref="G96:K96" si="56">G80-G112</f>
        <v>0.71220080304846767</v>
      </c>
      <c r="H96" s="1">
        <f t="shared" si="56"/>
        <v>0.10502461147721176</v>
      </c>
      <c r="I96" s="1">
        <f t="shared" si="56"/>
        <v>2.3607648620545651E-2</v>
      </c>
      <c r="J96" s="1">
        <f t="shared" si="56"/>
        <v>4.2282504344043526</v>
      </c>
      <c r="K96" s="1">
        <f t="shared" si="56"/>
        <v>1.2351170430644904</v>
      </c>
    </row>
    <row r="97" spans="1:11" x14ac:dyDescent="0.3">
      <c r="A97" s="5" t="str">
        <f t="shared" si="53"/>
        <v>STEM</v>
      </c>
      <c r="B97" s="5" t="str">
        <f t="shared" si="37"/>
        <v>SPS3</v>
      </c>
      <c r="C97" s="5" t="str">
        <f t="shared" si="54"/>
        <v>CH</v>
      </c>
      <c r="D97" t="s">
        <v>552</v>
      </c>
      <c r="E97" t="str">
        <f t="shared" si="55"/>
        <v>PJ/yr.</v>
      </c>
      <c r="F97" s="1">
        <f t="shared" ref="F97:K97" si="57">F81-F113</f>
        <v>0</v>
      </c>
      <c r="G97" s="1">
        <f t="shared" si="57"/>
        <v>0</v>
      </c>
      <c r="H97" s="1">
        <f t="shared" si="57"/>
        <v>0</v>
      </c>
      <c r="I97" s="1">
        <f t="shared" si="57"/>
        <v>0</v>
      </c>
      <c r="J97" s="1">
        <f t="shared" si="57"/>
        <v>0.25620166267676714</v>
      </c>
      <c r="K97" s="1">
        <f t="shared" si="57"/>
        <v>4.2954886931750608E-3</v>
      </c>
    </row>
    <row r="98" spans="1:11" x14ac:dyDescent="0.3">
      <c r="A98" s="5" t="str">
        <f t="shared" si="53"/>
        <v>STEM</v>
      </c>
      <c r="B98" s="5" t="str">
        <f t="shared" si="37"/>
        <v>SPS3</v>
      </c>
      <c r="C98" s="5" t="str">
        <f t="shared" si="54"/>
        <v>CH</v>
      </c>
      <c r="D98" t="s">
        <v>553</v>
      </c>
      <c r="E98" t="str">
        <f t="shared" si="55"/>
        <v>PJ/yr.</v>
      </c>
      <c r="F98" s="1">
        <f t="shared" ref="F98:K98" si="58">F82-F114</f>
        <v>0</v>
      </c>
      <c r="G98" s="1">
        <f t="shared" si="58"/>
        <v>0</v>
      </c>
      <c r="H98" s="1">
        <f t="shared" si="58"/>
        <v>0</v>
      </c>
      <c r="I98" s="1">
        <f t="shared" si="58"/>
        <v>1.3608699137836525E-4</v>
      </c>
      <c r="J98" s="1">
        <f t="shared" si="58"/>
        <v>9.2643495429939812E-2</v>
      </c>
      <c r="K98" s="1">
        <f t="shared" si="58"/>
        <v>6.4685101227621826E-3</v>
      </c>
    </row>
    <row r="99" spans="1:11" x14ac:dyDescent="0.3">
      <c r="A99" s="5" t="str">
        <f t="shared" si="53"/>
        <v>STEM</v>
      </c>
      <c r="B99" s="5" t="str">
        <f t="shared" si="37"/>
        <v>SPS3</v>
      </c>
      <c r="C99" s="5" t="str">
        <f t="shared" si="54"/>
        <v>CH</v>
      </c>
      <c r="D99" t="s">
        <v>554</v>
      </c>
      <c r="E99" t="str">
        <f t="shared" si="55"/>
        <v>PJ/yr.</v>
      </c>
      <c r="F99" s="1">
        <f t="shared" ref="F99:K99" si="59">F83-F115</f>
        <v>0</v>
      </c>
      <c r="G99" s="1">
        <f t="shared" si="59"/>
        <v>0</v>
      </c>
      <c r="H99" s="1">
        <f t="shared" si="59"/>
        <v>0</v>
      </c>
      <c r="I99" s="1">
        <f t="shared" si="59"/>
        <v>0</v>
      </c>
      <c r="J99" s="1">
        <f t="shared" si="59"/>
        <v>1.5750698741547331E-2</v>
      </c>
      <c r="K99" s="1">
        <f t="shared" si="59"/>
        <v>0.99544065984145869</v>
      </c>
    </row>
    <row r="100" spans="1:11" x14ac:dyDescent="0.3">
      <c r="A100" s="5" t="str">
        <f t="shared" si="53"/>
        <v>STEM</v>
      </c>
      <c r="B100" s="5" t="str">
        <f t="shared" si="37"/>
        <v>SPS3</v>
      </c>
      <c r="C100" s="5" t="str">
        <f t="shared" si="54"/>
        <v>CH</v>
      </c>
      <c r="D100" t="s">
        <v>555</v>
      </c>
      <c r="E100" t="str">
        <f t="shared" si="55"/>
        <v>PJ/yr.</v>
      </c>
      <c r="F100" s="1">
        <f t="shared" ref="F100:K100" si="60">F84-F116</f>
        <v>0.94087175001120171</v>
      </c>
      <c r="G100" s="1">
        <f t="shared" si="60"/>
        <v>4.3245184399159312E-4</v>
      </c>
      <c r="H100" s="1">
        <f t="shared" si="60"/>
        <v>8.5308319390683569E-3</v>
      </c>
      <c r="I100" s="1">
        <f t="shared" si="60"/>
        <v>1.0174237258939299E-4</v>
      </c>
      <c r="J100" s="1">
        <f t="shared" si="60"/>
        <v>2.9615172568500376E-3</v>
      </c>
      <c r="K100" s="1">
        <f t="shared" si="60"/>
        <v>6.1350211744939042E-4</v>
      </c>
    </row>
    <row r="101" spans="1:11" x14ac:dyDescent="0.3">
      <c r="A101" s="5" t="str">
        <f t="shared" si="53"/>
        <v>STEM</v>
      </c>
      <c r="B101" s="5" t="str">
        <f t="shared" si="37"/>
        <v>SPS3</v>
      </c>
      <c r="C101" s="5" t="str">
        <f t="shared" si="54"/>
        <v>CH</v>
      </c>
      <c r="D101" t="s">
        <v>556</v>
      </c>
      <c r="E101" t="str">
        <f t="shared" si="55"/>
        <v>PJ/yr.</v>
      </c>
      <c r="F101" s="1">
        <f t="shared" ref="F101:K101" si="61">F85-F117</f>
        <v>0</v>
      </c>
      <c r="G101" s="1">
        <f t="shared" si="61"/>
        <v>0</v>
      </c>
      <c r="H101" s="1">
        <f t="shared" si="61"/>
        <v>0</v>
      </c>
      <c r="I101" s="1">
        <f t="shared" si="61"/>
        <v>0</v>
      </c>
      <c r="J101" s="1">
        <f t="shared" si="61"/>
        <v>7.8934261488056035E-3</v>
      </c>
      <c r="K101" s="1">
        <f t="shared" si="61"/>
        <v>2.2867007754897688E-3</v>
      </c>
    </row>
    <row r="102" spans="1:11" x14ac:dyDescent="0.3">
      <c r="A102" s="5" t="str">
        <f t="shared" si="53"/>
        <v>STEM</v>
      </c>
      <c r="B102" s="5" t="str">
        <f t="shared" si="37"/>
        <v>SPS3</v>
      </c>
      <c r="C102" s="5" t="str">
        <f t="shared" si="54"/>
        <v>CH</v>
      </c>
      <c r="D102" t="s">
        <v>557</v>
      </c>
      <c r="E102" t="str">
        <f t="shared" si="55"/>
        <v>PJ/yr.</v>
      </c>
      <c r="F102" s="1">
        <f t="shared" ref="F102:K102" si="62">F86-F118</f>
        <v>0.65264890898675976</v>
      </c>
      <c r="G102" s="1">
        <f t="shared" si="62"/>
        <v>8.9450263029994509E-2</v>
      </c>
      <c r="H102" s="1">
        <f t="shared" si="62"/>
        <v>4.2246146568286853E-2</v>
      </c>
      <c r="I102" s="1">
        <f t="shared" si="62"/>
        <v>2.3233205281927898E-2</v>
      </c>
      <c r="J102" s="1">
        <f t="shared" si="62"/>
        <v>2.4711665027304038E-2</v>
      </c>
      <c r="K102" s="1">
        <f t="shared" si="62"/>
        <v>8.9900816158622263E-3</v>
      </c>
    </row>
    <row r="103" spans="1:11" x14ac:dyDescent="0.3">
      <c r="A103" s="5" t="str">
        <f t="shared" si="53"/>
        <v>STEM</v>
      </c>
      <c r="B103" s="5" t="str">
        <f t="shared" si="37"/>
        <v>SPS3</v>
      </c>
      <c r="C103" s="5" t="str">
        <f t="shared" si="54"/>
        <v>CH</v>
      </c>
      <c r="D103" t="s">
        <v>558</v>
      </c>
      <c r="E103" t="str">
        <f t="shared" si="55"/>
        <v>PJ/yr.</v>
      </c>
      <c r="F103" s="1">
        <f t="shared" ref="F103:K103" si="63">F87-F119</f>
        <v>0</v>
      </c>
      <c r="G103" s="1">
        <f t="shared" si="63"/>
        <v>0</v>
      </c>
      <c r="H103" s="1">
        <f t="shared" si="63"/>
        <v>0</v>
      </c>
      <c r="I103" s="1">
        <f t="shared" si="63"/>
        <v>0</v>
      </c>
      <c r="J103" s="1">
        <f t="shared" si="63"/>
        <v>5.3719018002311636E-3</v>
      </c>
      <c r="K103" s="1">
        <f t="shared" si="63"/>
        <v>5.227971946336514E-3</v>
      </c>
    </row>
    <row r="104" spans="1:11" x14ac:dyDescent="0.3">
      <c r="A104" s="5" t="str">
        <f t="shared" si="53"/>
        <v>STEM</v>
      </c>
      <c r="B104" s="5" t="str">
        <f t="shared" si="37"/>
        <v>SPS3</v>
      </c>
      <c r="C104" s="5" t="str">
        <f t="shared" si="54"/>
        <v>CH</v>
      </c>
      <c r="D104" t="s">
        <v>559</v>
      </c>
      <c r="E104" t="str">
        <f t="shared" si="55"/>
        <v>PJ/yr.</v>
      </c>
      <c r="F104" s="1">
        <f t="shared" ref="F104:K104" si="64">F88-F120</f>
        <v>0</v>
      </c>
      <c r="G104" s="1">
        <f t="shared" si="64"/>
        <v>0</v>
      </c>
      <c r="H104" s="1">
        <f t="shared" si="64"/>
        <v>0</v>
      </c>
      <c r="I104" s="1">
        <f t="shared" si="64"/>
        <v>0</v>
      </c>
      <c r="J104" s="1">
        <f t="shared" si="64"/>
        <v>0.24135550950578133</v>
      </c>
      <c r="K104" s="1">
        <f t="shared" si="64"/>
        <v>1.9905783984005873E-2</v>
      </c>
    </row>
    <row r="105" spans="1:11" x14ac:dyDescent="0.3">
      <c r="A105" s="5" t="str">
        <f t="shared" si="53"/>
        <v>STEM</v>
      </c>
      <c r="B105" s="5" t="str">
        <f t="shared" si="37"/>
        <v>SPS3</v>
      </c>
      <c r="C105" s="5" t="str">
        <f t="shared" si="54"/>
        <v>CH</v>
      </c>
      <c r="D105" t="s">
        <v>560</v>
      </c>
      <c r="E105" t="str">
        <f t="shared" si="55"/>
        <v>PJ/yr.</v>
      </c>
      <c r="F105" s="1">
        <f t="shared" ref="F105:K105" si="65">F89-F121</f>
        <v>3.1585445036464675E-2</v>
      </c>
      <c r="G105" s="1">
        <f t="shared" si="65"/>
        <v>2.1068300616418224E-3</v>
      </c>
      <c r="H105" s="1">
        <f t="shared" si="65"/>
        <v>7.1383478828095977E-3</v>
      </c>
      <c r="I105" s="1">
        <f t="shared" si="65"/>
        <v>1.969482488181837E-5</v>
      </c>
      <c r="J105" s="1">
        <f t="shared" si="65"/>
        <v>1.9524261038909949E-2</v>
      </c>
      <c r="K105" s="1">
        <f t="shared" si="65"/>
        <v>4.7947720236479231E-3</v>
      </c>
    </row>
    <row r="106" spans="1:11" x14ac:dyDescent="0.3">
      <c r="A106" s="5" t="str">
        <f t="shared" si="53"/>
        <v>STEM</v>
      </c>
      <c r="B106" s="5" t="str">
        <f t="shared" si="37"/>
        <v>SPS3</v>
      </c>
      <c r="C106" s="5" t="str">
        <f t="shared" si="54"/>
        <v>CH</v>
      </c>
      <c r="D106" t="s">
        <v>561</v>
      </c>
      <c r="E106" t="str">
        <f t="shared" si="55"/>
        <v>PJ/yr.</v>
      </c>
      <c r="F106" s="1">
        <f t="shared" ref="F106:K106" si="66">F90-F122</f>
        <v>0</v>
      </c>
      <c r="G106" s="1">
        <f t="shared" si="66"/>
        <v>0</v>
      </c>
      <c r="H106" s="1">
        <f t="shared" si="66"/>
        <v>0</v>
      </c>
      <c r="I106" s="1">
        <f t="shared" si="66"/>
        <v>2.7865889440632479E-5</v>
      </c>
      <c r="J106" s="1">
        <f t="shared" si="66"/>
        <v>8.3263501742398219E-3</v>
      </c>
      <c r="K106" s="1">
        <f t="shared" si="66"/>
        <v>1.9092828472138728E-3</v>
      </c>
    </row>
    <row r="107" spans="1:11" x14ac:dyDescent="0.3">
      <c r="A107" s="5" t="str">
        <f t="shared" si="53"/>
        <v>STEM</v>
      </c>
      <c r="B107" s="5" t="str">
        <f t="shared" si="37"/>
        <v>SPS3</v>
      </c>
      <c r="C107" s="5" t="str">
        <f t="shared" si="54"/>
        <v>CH</v>
      </c>
      <c r="D107" t="s">
        <v>562</v>
      </c>
      <c r="E107" t="str">
        <f>E183</f>
        <v>PJ/yr.</v>
      </c>
      <c r="F107" s="1">
        <f t="shared" ref="F107:K107" si="67">F91-F123</f>
        <v>5.02578396823311E-2</v>
      </c>
      <c r="G107" s="1">
        <f t="shared" si="67"/>
        <v>2.5247569113458143E-3</v>
      </c>
      <c r="H107" s="1">
        <f t="shared" si="67"/>
        <v>2.5481107800888674E-2</v>
      </c>
      <c r="I107" s="1">
        <f t="shared" si="67"/>
        <v>2.0564117333647018E-5</v>
      </c>
      <c r="J107" s="1">
        <f t="shared" si="67"/>
        <v>0.78180687490353151</v>
      </c>
      <c r="K107" s="1">
        <f t="shared" si="67"/>
        <v>0.15041298383640628</v>
      </c>
    </row>
    <row r="108" spans="1:11" x14ac:dyDescent="0.3">
      <c r="A108" s="5" t="str">
        <f t="shared" si="53"/>
        <v>STEM</v>
      </c>
      <c r="B108" s="5" t="str">
        <f t="shared" si="37"/>
        <v>SPS3</v>
      </c>
      <c r="C108" s="5" t="str">
        <f t="shared" si="54"/>
        <v>CH</v>
      </c>
      <c r="D108" t="s">
        <v>563</v>
      </c>
      <c r="E108" t="str">
        <f>E185</f>
        <v>PJ/yr.</v>
      </c>
      <c r="F108" s="1">
        <f t="shared" ref="F108:K108" si="68">F92-F124</f>
        <v>0</v>
      </c>
      <c r="G108" s="1">
        <f t="shared" si="68"/>
        <v>0</v>
      </c>
      <c r="H108" s="1">
        <f t="shared" si="68"/>
        <v>0</v>
      </c>
      <c r="I108" s="1">
        <f t="shared" si="68"/>
        <v>2.6444931134587233E-5</v>
      </c>
      <c r="J108" s="1">
        <f t="shared" si="68"/>
        <v>9.9272719759931433E-2</v>
      </c>
      <c r="K108" s="1">
        <f t="shared" si="68"/>
        <v>2.5789769297218823E-2</v>
      </c>
    </row>
    <row r="109" spans="1:11" x14ac:dyDescent="0.3">
      <c r="A109" s="5" t="str">
        <f t="shared" si="53"/>
        <v>STEM</v>
      </c>
      <c r="B109" s="5" t="str">
        <f t="shared" si="37"/>
        <v>SPS3</v>
      </c>
      <c r="C109" s="5" t="str">
        <f t="shared" si="54"/>
        <v>CH</v>
      </c>
      <c r="D109" t="s">
        <v>564</v>
      </c>
      <c r="E109" t="str">
        <f>E187</f>
        <v>PJ/yr.</v>
      </c>
      <c r="F109" s="1">
        <f t="shared" ref="F109:K109" si="69">F93-F125</f>
        <v>0</v>
      </c>
      <c r="G109" s="1">
        <f t="shared" si="69"/>
        <v>0</v>
      </c>
      <c r="H109" s="1">
        <f t="shared" si="69"/>
        <v>0</v>
      </c>
      <c r="I109" s="1">
        <f t="shared" si="69"/>
        <v>0</v>
      </c>
      <c r="J109" s="1">
        <f t="shared" si="69"/>
        <v>0</v>
      </c>
      <c r="K109" s="1">
        <f t="shared" si="69"/>
        <v>0</v>
      </c>
    </row>
    <row r="110" spans="1:11" x14ac:dyDescent="0.3">
      <c r="A110" s="5" t="str">
        <f t="shared" si="53"/>
        <v>STEM</v>
      </c>
      <c r="B110" s="5" t="str">
        <f t="shared" si="37"/>
        <v>SPS3</v>
      </c>
      <c r="C110" s="5" t="str">
        <f t="shared" si="54"/>
        <v>CH</v>
      </c>
      <c r="D110" t="s">
        <v>565</v>
      </c>
      <c r="E110" t="str">
        <f>E188</f>
        <v>PJ/yr.</v>
      </c>
      <c r="F110" s="1">
        <f t="shared" ref="F110:K110" si="70">F94-F126</f>
        <v>0.57904202863004417</v>
      </c>
      <c r="G110" s="1">
        <f t="shared" si="70"/>
        <v>0.61768650120149404</v>
      </c>
      <c r="H110" s="1">
        <f t="shared" si="70"/>
        <v>2.1628177286158238E-2</v>
      </c>
      <c r="I110" s="1">
        <f t="shared" si="70"/>
        <v>8.2150748638221949E-6</v>
      </c>
      <c r="J110" s="1">
        <f t="shared" si="70"/>
        <v>2.598652761710158</v>
      </c>
      <c r="K110" s="1">
        <f t="shared" si="70"/>
        <v>7.0366301877739521E-4</v>
      </c>
    </row>
    <row r="111" spans="1:11" x14ac:dyDescent="0.3">
      <c r="A111" s="5" t="str">
        <f t="shared" si="53"/>
        <v>STEM</v>
      </c>
      <c r="B111" s="5" t="str">
        <f t="shared" si="37"/>
        <v>SPS3</v>
      </c>
      <c r="C111" s="5" t="str">
        <f t="shared" si="54"/>
        <v>CH</v>
      </c>
      <c r="D111" t="s">
        <v>566</v>
      </c>
      <c r="E111" t="str">
        <f>E193</f>
        <v>PJ/yr.</v>
      </c>
      <c r="F111" s="1">
        <f t="shared" ref="F111:K111" si="71">F95-F127</f>
        <v>0</v>
      </c>
      <c r="G111" s="1">
        <f t="shared" si="71"/>
        <v>0</v>
      </c>
      <c r="H111" s="1">
        <f t="shared" si="71"/>
        <v>0</v>
      </c>
      <c r="I111" s="1">
        <f t="shared" si="71"/>
        <v>3.3829136995459143E-5</v>
      </c>
      <c r="J111" s="1">
        <f t="shared" si="71"/>
        <v>7.3777590230355697E-2</v>
      </c>
      <c r="K111" s="1">
        <f t="shared" si="71"/>
        <v>8.2778729446874241E-3</v>
      </c>
    </row>
    <row r="112" spans="1:11" x14ac:dyDescent="0.3">
      <c r="A112" s="5" t="str">
        <f>A95</f>
        <v>STEM</v>
      </c>
      <c r="B112" s="5" t="str">
        <f t="shared" si="37"/>
        <v>SPS3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1.0193187438575271</v>
      </c>
      <c r="G112" s="1">
        <f t="shared" ref="G112:K112" si="72">SUM(G113:G127)</f>
        <v>1.115508956821653</v>
      </c>
      <c r="H112" s="1">
        <f t="shared" si="72"/>
        <v>1.1241477771798767</v>
      </c>
      <c r="I112" s="1">
        <f t="shared" si="72"/>
        <v>1.1059916381914121</v>
      </c>
      <c r="J112" s="1">
        <f t="shared" si="72"/>
        <v>2.3659961685989996</v>
      </c>
      <c r="K112" s="1">
        <f t="shared" si="72"/>
        <v>5.7221327009476575</v>
      </c>
    </row>
    <row r="113" spans="1:11" x14ac:dyDescent="0.3">
      <c r="A113" s="5" t="str">
        <f t="shared" si="37"/>
        <v>STEM</v>
      </c>
      <c r="B113" s="5" t="str">
        <f t="shared" si="37"/>
        <v>SPS3</v>
      </c>
      <c r="C113" s="5" t="str">
        <f t="shared" si="38"/>
        <v>CH</v>
      </c>
      <c r="D113" t="s">
        <v>613</v>
      </c>
      <c r="E113" t="str">
        <f t="shared" ref="E113:E128" si="73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3.2364254634518655E-2</v>
      </c>
      <c r="K113" s="1">
        <f>'[1]Electricity and CHPs_IN'!Q$23/SUM('[1]Electricity and CHPs_IN'!Q$22:Q$23)*K81</f>
        <v>1.352941521510114E-2</v>
      </c>
    </row>
    <row r="114" spans="1:11" x14ac:dyDescent="0.3">
      <c r="A114" s="5" t="str">
        <f t="shared" si="37"/>
        <v>STEM</v>
      </c>
      <c r="B114" s="5" t="str">
        <f t="shared" si="37"/>
        <v>SPS3</v>
      </c>
      <c r="C114" s="5" t="str">
        <f t="shared" si="38"/>
        <v>CH</v>
      </c>
      <c r="D114" t="s">
        <v>614</v>
      </c>
      <c r="E114" t="str">
        <f t="shared" si="73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0</v>
      </c>
      <c r="H114" s="1">
        <f>'[1]Electricity and CHPs_IN'!N$23/SUM('[1]Electricity and CHPs_IN'!N$22:N$23)*H82</f>
        <v>0</v>
      </c>
      <c r="I114" s="1">
        <f>'[1]Electricity and CHPs_IN'!O$23/SUM('[1]Electricity and CHPs_IN'!O$22:O$23)*I82</f>
        <v>1.2984608955120639E-7</v>
      </c>
      <c r="J114" s="1">
        <f>'[1]Electricity and CHPs_IN'!P$23/SUM('[1]Electricity and CHPs_IN'!P$22:P$23)*J82</f>
        <v>1.1703037540818943E-2</v>
      </c>
      <c r="K114" s="1">
        <f>'[1]Electricity and CHPs_IN'!Q$23/SUM('[1]Electricity and CHPs_IN'!Q$22:Q$23)*K82</f>
        <v>2.0373737547716975E-2</v>
      </c>
    </row>
    <row r="115" spans="1:11" x14ac:dyDescent="0.3">
      <c r="A115" s="5" t="str">
        <f t="shared" si="37"/>
        <v>STEM</v>
      </c>
      <c r="B115" s="5" t="str">
        <f t="shared" si="37"/>
        <v>SPS3</v>
      </c>
      <c r="C115" s="5" t="str">
        <f t="shared" si="38"/>
        <v>CH</v>
      </c>
      <c r="D115" t="s">
        <v>615</v>
      </c>
      <c r="E115" t="str">
        <f t="shared" si="73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1.989681173092778E-3</v>
      </c>
      <c r="K115" s="1">
        <f>'[1]Electricity and CHPs_IN'!Q$23/SUM('[1]Electricity and CHPs_IN'!Q$22:Q$23)*K83</f>
        <v>3.1353196274006527</v>
      </c>
    </row>
    <row r="116" spans="1:11" x14ac:dyDescent="0.3">
      <c r="A116" s="5" t="str">
        <f t="shared" si="37"/>
        <v>STEM</v>
      </c>
      <c r="B116" s="5" t="str">
        <f t="shared" si="37"/>
        <v>SPS3</v>
      </c>
      <c r="C116" s="5" t="str">
        <f t="shared" si="38"/>
        <v>CH</v>
      </c>
      <c r="D116" t="s">
        <v>616</v>
      </c>
      <c r="E116" t="str">
        <f t="shared" si="73"/>
        <v>PJ/yr.</v>
      </c>
      <c r="F116" s="1">
        <f>'[1]Electricity and CHPs_IN'!L$23/SUM('[1]Electricity and CHPs_IN'!L$22:L$23)*F84</f>
        <v>2.5016589971358204E-2</v>
      </c>
      <c r="G116" s="1">
        <f>'[1]Electricity and CHPs_IN'!M$23/SUM('[1]Electricity and CHPs_IN'!M$22:M$23)*G84</f>
        <v>5.7902715959927851E-6</v>
      </c>
      <c r="H116" s="1">
        <f>'[1]Electricity and CHPs_IN'!N$23/SUM('[1]Electricity and CHPs_IN'!N$22:N$23)*H84</f>
        <v>1.4764618195416382E-3</v>
      </c>
      <c r="I116" s="1">
        <f>'[1]Electricity and CHPs_IN'!O$23/SUM('[1]Electricity and CHPs_IN'!O$22:O$23)*I84</f>
        <v>9.7076502967606615E-8</v>
      </c>
      <c r="J116" s="1">
        <f>'[1]Electricity and CHPs_IN'!P$23/SUM('[1]Electricity and CHPs_IN'!P$22:P$23)*J84</f>
        <v>3.7410880789692634E-4</v>
      </c>
      <c r="K116" s="1">
        <f>'[1]Electricity and CHPs_IN'!Q$23/SUM('[1]Electricity and CHPs_IN'!Q$22:Q$23)*K84</f>
        <v>1.9323354047013606E-3</v>
      </c>
    </row>
    <row r="117" spans="1:11" x14ac:dyDescent="0.3">
      <c r="A117" s="5" t="str">
        <f t="shared" si="37"/>
        <v>STEM</v>
      </c>
      <c r="B117" s="5" t="str">
        <f t="shared" si="37"/>
        <v>SPS3</v>
      </c>
      <c r="C117" s="5" t="str">
        <f t="shared" si="38"/>
        <v>CH</v>
      </c>
      <c r="D117" t="s">
        <v>617</v>
      </c>
      <c r="E117" t="str">
        <f t="shared" si="73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9.9712410586896079E-4</v>
      </c>
      <c r="K117" s="1">
        <f>'[1]Electricity and CHPs_IN'!Q$23/SUM('[1]Electricity and CHPs_IN'!Q$22:Q$23)*K85</f>
        <v>7.2023759050863379E-3</v>
      </c>
    </row>
    <row r="118" spans="1:11" x14ac:dyDescent="0.3">
      <c r="A118" s="5" t="str">
        <f t="shared" si="37"/>
        <v>STEM</v>
      </c>
      <c r="B118" s="5" t="str">
        <f t="shared" si="37"/>
        <v>SPS3</v>
      </c>
      <c r="C118" s="5" t="str">
        <f t="shared" si="38"/>
        <v>CH</v>
      </c>
      <c r="D118" t="s">
        <v>618</v>
      </c>
      <c r="E118" t="str">
        <f t="shared" si="73"/>
        <v>PJ/yr.</v>
      </c>
      <c r="F118" s="1">
        <f>'[1]Electricity and CHPs_IN'!L$23/SUM('[1]Electricity and CHPs_IN'!L$22:L$23)*F86</f>
        <v>1.7353109125852341E-2</v>
      </c>
      <c r="G118" s="1">
        <f>'[1]Electricity and CHPs_IN'!M$23/SUM('[1]Electricity and CHPs_IN'!M$22:M$23)*G86</f>
        <v>1.1976855330202488E-3</v>
      </c>
      <c r="H118" s="1">
        <f>'[1]Electricity and CHPs_IN'!N$23/SUM('[1]Electricity and CHPs_IN'!N$22:N$23)*H86</f>
        <v>7.3116927957729084E-3</v>
      </c>
      <c r="I118" s="1">
        <f>'[1]Electricity and CHPs_IN'!O$23/SUM('[1]Electricity and CHPs_IN'!O$22:O$23)*I86</f>
        <v>2.2167738613687691E-5</v>
      </c>
      <c r="J118" s="1">
        <f>'[1]Electricity and CHPs_IN'!P$23/SUM('[1]Electricity and CHPs_IN'!P$22:P$23)*J86</f>
        <v>3.1216605350279114E-3</v>
      </c>
      <c r="K118" s="1">
        <f>'[1]Electricity and CHPs_IN'!Q$23/SUM('[1]Electricity and CHPs_IN'!Q$22:Q$23)*K86</f>
        <v>2.8315881075860271E-2</v>
      </c>
    </row>
    <row r="119" spans="1:11" x14ac:dyDescent="0.3">
      <c r="A119" s="5" t="str">
        <f t="shared" si="37"/>
        <v>STEM</v>
      </c>
      <c r="B119" s="5" t="str">
        <f t="shared" si="37"/>
        <v>SPS3</v>
      </c>
      <c r="C119" s="5" t="str">
        <f t="shared" si="38"/>
        <v>CH</v>
      </c>
      <c r="D119" t="s">
        <v>619</v>
      </c>
      <c r="E119" t="str">
        <f t="shared" si="73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6.7859668012246774E-4</v>
      </c>
      <c r="K119" s="1">
        <f>'[1]Electricity and CHPs_IN'!Q$23/SUM('[1]Electricity and CHPs_IN'!Q$22:Q$23)*K87</f>
        <v>1.6466439152143408E-2</v>
      </c>
    </row>
    <row r="120" spans="1:11" x14ac:dyDescent="0.3">
      <c r="A120" s="5" t="str">
        <f t="shared" si="37"/>
        <v>STEM</v>
      </c>
      <c r="B120" s="5" t="str">
        <f t="shared" si="37"/>
        <v>SPS3</v>
      </c>
      <c r="C120" s="5" t="str">
        <f t="shared" si="38"/>
        <v>CH</v>
      </c>
      <c r="D120" t="s">
        <v>620</v>
      </c>
      <c r="E120" t="str">
        <f t="shared" si="73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0</v>
      </c>
      <c r="J120" s="1">
        <f>'[1]Electricity and CHPs_IN'!P$23/SUM('[1]Electricity and CHPs_IN'!P$22:P$23)*J88</f>
        <v>3.0488838696351824E-2</v>
      </c>
      <c r="K120" s="1">
        <f>'[1]Electricity and CHPs_IN'!Q$23/SUM('[1]Electricity and CHPs_IN'!Q$22:Q$23)*K88</f>
        <v>6.2696851496694198E-2</v>
      </c>
    </row>
    <row r="121" spans="1:11" x14ac:dyDescent="0.3">
      <c r="A121" s="5" t="str">
        <f t="shared" si="37"/>
        <v>STEM</v>
      </c>
      <c r="B121" s="5" t="str">
        <f t="shared" si="37"/>
        <v>SPS3</v>
      </c>
      <c r="C121" s="5" t="str">
        <f t="shared" si="38"/>
        <v>CH</v>
      </c>
      <c r="D121" t="s">
        <v>621</v>
      </c>
      <c r="E121" t="str">
        <f t="shared" si="73"/>
        <v>PJ/yr.</v>
      </c>
      <c r="F121" s="1">
        <f>'[1]Electricity and CHPs_IN'!L$23/SUM('[1]Electricity and CHPs_IN'!L$22:L$23)*F89</f>
        <v>8.3981703939001303E-4</v>
      </c>
      <c r="G121" s="1">
        <f>'[1]Electricity and CHPs_IN'!M$23/SUM('[1]Electricity and CHPs_IN'!M$22:M$23)*G89</f>
        <v>2.8209194695318543E-5</v>
      </c>
      <c r="H121" s="1">
        <f>'[1]Electricity and CHPs_IN'!N$23/SUM('[1]Electricity and CHPs_IN'!N$22:N$23)*H89</f>
        <v>1.235459586925735E-3</v>
      </c>
      <c r="I121" s="1">
        <f>'[1]Electricity and CHPs_IN'!O$23/SUM('[1]Electricity and CHPs_IN'!O$22:O$23)*I89</f>
        <v>1.8791627101151921E-8</v>
      </c>
      <c r="J121" s="1">
        <f>'[1]Electricity and CHPs_IN'!P$23/SUM('[1]Electricity and CHPs_IN'!P$22:P$23)*J89</f>
        <v>2.4663702382419946E-3</v>
      </c>
      <c r="K121" s="1">
        <f>'[1]Electricity and CHPs_IN'!Q$23/SUM('[1]Electricity and CHPs_IN'!Q$22:Q$23)*K89</f>
        <v>1.5101997980521687E-2</v>
      </c>
    </row>
    <row r="122" spans="1:11" x14ac:dyDescent="0.3">
      <c r="A122" s="5" t="str">
        <f t="shared" si="37"/>
        <v>STEM</v>
      </c>
      <c r="B122" s="5" t="str">
        <f t="shared" si="37"/>
        <v>SPS3</v>
      </c>
      <c r="C122" s="5" t="str">
        <f t="shared" si="38"/>
        <v>CH</v>
      </c>
      <c r="D122" t="s">
        <v>622</v>
      </c>
      <c r="E122" t="str">
        <f t="shared" si="73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2.658796949719035E-8</v>
      </c>
      <c r="J122" s="1">
        <f>'[1]Electricity and CHPs_IN'!P$23/SUM('[1]Electricity and CHPs_IN'!P$22:P$23)*J90</f>
        <v>1.0518125229938369E-3</v>
      </c>
      <c r="K122" s="1">
        <f>'[1]Electricity and CHPs_IN'!Q$23/SUM('[1]Electricity and CHPs_IN'!Q$22:Q$23)*K90</f>
        <v>6.013630170664786E-3</v>
      </c>
    </row>
    <row r="123" spans="1:11" x14ac:dyDescent="0.3">
      <c r="A123" s="5" t="str">
        <f t="shared" si="37"/>
        <v>STEM</v>
      </c>
      <c r="B123" s="5" t="str">
        <f t="shared" si="37"/>
        <v>SPS3</v>
      </c>
      <c r="C123" s="5" t="str">
        <f t="shared" si="38"/>
        <v>CH</v>
      </c>
      <c r="D123" t="s">
        <v>623</v>
      </c>
      <c r="E123" t="str">
        <f t="shared" si="73"/>
        <v>PJ/yr.</v>
      </c>
      <c r="F123" s="1">
        <f>'[1]Electricity and CHPs_IN'!L$23/SUM('[1]Electricity and CHPs_IN'!L$22:L$23)*F91</f>
        <v>1.3362923992182396E-3</v>
      </c>
      <c r="G123" s="1">
        <f>'[1]Electricity and CHPs_IN'!M$23/SUM('[1]Electricity and CHPs_IN'!M$22:M$23)*G91</f>
        <v>3.3804985303372498E-5</v>
      </c>
      <c r="H123" s="1">
        <f>'[1]Electricity and CHPs_IN'!N$23/SUM('[1]Electricity and CHPs_IN'!N$22:N$23)*H91</f>
        <v>4.4101071333196807E-3</v>
      </c>
      <c r="I123" s="1">
        <f>'[1]Electricity and CHPs_IN'!O$23/SUM('[1]Electricity and CHPs_IN'!O$22:O$23)*I91</f>
        <v>1.9621054105181307E-8</v>
      </c>
      <c r="J123" s="1">
        <f>'[1]Electricity and CHPs_IN'!P$23/SUM('[1]Electricity and CHPs_IN'!P$22:P$23)*J91</f>
        <v>9.8760470599747019E-2</v>
      </c>
      <c r="K123" s="1">
        <f>'[1]Electricity and CHPs_IN'!Q$23/SUM('[1]Electricity and CHPs_IN'!Q$22:Q$23)*K91</f>
        <v>0.47375278051560726</v>
      </c>
    </row>
    <row r="124" spans="1:11" x14ac:dyDescent="0.3">
      <c r="A124" s="5" t="str">
        <f t="shared" si="37"/>
        <v>STEM</v>
      </c>
      <c r="B124" s="5" t="str">
        <f t="shared" si="37"/>
        <v>SPS3</v>
      </c>
      <c r="C124" s="5" t="str">
        <f t="shared" si="38"/>
        <v>CH</v>
      </c>
      <c r="D124" t="s">
        <v>624</v>
      </c>
      <c r="E124" t="str">
        <f t="shared" si="73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2.5232175842069443E-8</v>
      </c>
      <c r="J124" s="1">
        <f>'[1]Electricity and CHPs_IN'!P$23/SUM('[1]Electricity and CHPs_IN'!P$22:P$23)*J92</f>
        <v>1.2540463426363951E-2</v>
      </c>
      <c r="K124" s="1">
        <f>'[1]Electricity and CHPs_IN'!Q$23/SUM('[1]Electricity and CHPs_IN'!Q$22:Q$23)*K92</f>
        <v>8.1229522889474048E-2</v>
      </c>
    </row>
    <row r="125" spans="1:11" x14ac:dyDescent="0.3">
      <c r="A125" s="5" t="str">
        <f t="shared" si="37"/>
        <v>STEM</v>
      </c>
      <c r="B125" s="5" t="str">
        <f t="shared" si="37"/>
        <v>SPS3</v>
      </c>
      <c r="C125" s="5" t="str">
        <f t="shared" si="38"/>
        <v>CH</v>
      </c>
      <c r="D125" t="s">
        <v>625</v>
      </c>
      <c r="E125" t="str">
        <f t="shared" si="73"/>
        <v>PJ/yr.</v>
      </c>
      <c r="F125" s="1">
        <f t="shared" ref="F125:K125" si="74">F93</f>
        <v>0.95937694005854024</v>
      </c>
      <c r="G125" s="1">
        <f t="shared" si="74"/>
        <v>1.1059730139465545</v>
      </c>
      <c r="H125" s="1">
        <f t="shared" si="74"/>
        <v>1.1059707892769557</v>
      </c>
      <c r="I125" s="1">
        <f t="shared" si="74"/>
        <v>1.1059691131813003</v>
      </c>
      <c r="J125" s="1">
        <f t="shared" si="74"/>
        <v>1.8318693706389726</v>
      </c>
      <c r="K125" s="1">
        <f t="shared" si="74"/>
        <v>1.8319091411887869</v>
      </c>
    </row>
    <row r="126" spans="1:11" x14ac:dyDescent="0.3">
      <c r="A126" s="5" t="str">
        <f t="shared" si="37"/>
        <v>STEM</v>
      </c>
      <c r="B126" s="5" t="str">
        <f t="shared" si="37"/>
        <v>SPS3</v>
      </c>
      <c r="C126" s="5" t="str">
        <f t="shared" si="38"/>
        <v>CH</v>
      </c>
      <c r="D126" t="s">
        <v>626</v>
      </c>
      <c r="E126" t="str">
        <f t="shared" si="73"/>
        <v>PJ/yr.</v>
      </c>
      <c r="F126" s="1">
        <f>'[1]Electricity and CHPs_IN'!L$23/SUM('[1]Electricity and CHPs_IN'!L$22:L$23)*F94</f>
        <v>1.539599526316824E-2</v>
      </c>
      <c r="G126" s="1">
        <f>'[1]Electricity and CHPs_IN'!M$23/SUM('[1]Electricity and CHPs_IN'!M$22:M$23)*G94</f>
        <v>8.2704528904834606E-3</v>
      </c>
      <c r="H126" s="1">
        <f>'[1]Electricity and CHPs_IN'!N$23/SUM('[1]Electricity and CHPs_IN'!N$22:N$23)*H94</f>
        <v>3.7432665673610387E-3</v>
      </c>
      <c r="I126" s="1">
        <f>'[1]Electricity and CHPs_IN'!O$23/SUM('[1]Electricity and CHPs_IN'!O$22:O$23)*I94</f>
        <v>7.8383344038517842E-9</v>
      </c>
      <c r="J126" s="1">
        <f>'[1]Electricity and CHPs_IN'!P$23/SUM('[1]Electricity and CHPs_IN'!P$22:P$23)*J94</f>
        <v>0.3282705459753027</v>
      </c>
      <c r="K126" s="1">
        <f>'[1]Electricity and CHPs_IN'!Q$23/SUM('[1]Electricity and CHPs_IN'!Q$22:Q$23)*K94</f>
        <v>2.2163134005397551E-3</v>
      </c>
    </row>
    <row r="127" spans="1:11" x14ac:dyDescent="0.3">
      <c r="A127" s="5" t="str">
        <f t="shared" si="37"/>
        <v>STEM</v>
      </c>
      <c r="B127" s="5" t="str">
        <f t="shared" si="37"/>
        <v>SPS3</v>
      </c>
      <c r="C127" s="5" t="str">
        <f t="shared" si="38"/>
        <v>CH</v>
      </c>
      <c r="D127" t="s">
        <v>627</v>
      </c>
      <c r="E127" t="str">
        <f t="shared" si="73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3.2277744604843534E-8</v>
      </c>
      <c r="J127" s="1">
        <f>'[1]Electricity and CHPs_IN'!P$23/SUM('[1]Electricity and CHPs_IN'!P$22:P$23)*J95</f>
        <v>9.3198330236790219E-3</v>
      </c>
      <c r="K127" s="1">
        <f>'[1]Electricity and CHPs_IN'!Q$23/SUM('[1]Electricity and CHPs_IN'!Q$22:Q$23)*K95</f>
        <v>2.607265160410558E-2</v>
      </c>
    </row>
    <row r="128" spans="1:11" x14ac:dyDescent="0.3">
      <c r="A128" s="5" t="str">
        <f t="shared" si="37"/>
        <v>STEM</v>
      </c>
      <c r="B128" s="5" t="str">
        <f t="shared" si="37"/>
        <v>SPS3</v>
      </c>
      <c r="C128" s="5" t="str">
        <f t="shared" si="38"/>
        <v>CH</v>
      </c>
      <c r="D128" t="s">
        <v>800</v>
      </c>
      <c r="E128" t="str">
        <f t="shared" si="73"/>
        <v>PJ/yr.</v>
      </c>
      <c r="F128" s="1">
        <f>SUM(F129:F134)</f>
        <v>8.2546948736185595</v>
      </c>
      <c r="G128" s="1">
        <f t="shared" ref="G128:K128" si="75">SUM(G129:G134)</f>
        <v>8.9452126496367388</v>
      </c>
      <c r="H128" s="1">
        <f t="shared" si="75"/>
        <v>9.1760415208245369</v>
      </c>
      <c r="I128" s="1">
        <f t="shared" si="75"/>
        <v>9.2867590206962731</v>
      </c>
      <c r="J128" s="1">
        <f t="shared" si="75"/>
        <v>10.435419978733369</v>
      </c>
      <c r="K128" s="1">
        <f t="shared" si="75"/>
        <v>11.101138732051878</v>
      </c>
    </row>
    <row r="129" spans="1:17" x14ac:dyDescent="0.3">
      <c r="A129" s="5" t="str">
        <f t="shared" si="37"/>
        <v>STEM</v>
      </c>
      <c r="B129" s="5" t="str">
        <f t="shared" si="37"/>
        <v>SPS3</v>
      </c>
      <c r="C129" s="5" t="str">
        <f t="shared" si="38"/>
        <v>CH</v>
      </c>
      <c r="D129" t="s">
        <v>53</v>
      </c>
      <c r="E129" t="str">
        <f>E73</f>
        <v>PJ/yr.</v>
      </c>
      <c r="F129" s="1">
        <f>'[1]Electricity and CHPs'!B19</f>
        <v>6.5070037091525705</v>
      </c>
      <c r="G129" s="1">
        <f>'[1]Electricity and CHPs'!C19</f>
        <v>7.3027682524000266</v>
      </c>
      <c r="H129" s="1">
        <f>'[1]Electricity and CHPs'!D19</f>
        <v>7.4118294905002715</v>
      </c>
      <c r="I129" s="1">
        <f>'[1]Electricity and CHPs'!E19</f>
        <v>7.5002623967704816</v>
      </c>
      <c r="J129" s="1">
        <f>'[1]Electricity and CHPs'!F19</f>
        <v>8.0736428081890619</v>
      </c>
      <c r="K129" s="1">
        <f>'[1]Electricity and CHPs'!G19</f>
        <v>4.6534334425069401</v>
      </c>
    </row>
    <row r="130" spans="1:17" x14ac:dyDescent="0.3">
      <c r="A130" s="5" t="str">
        <f t="shared" si="37"/>
        <v>STEM</v>
      </c>
      <c r="B130" s="5" t="str">
        <f t="shared" si="37"/>
        <v>SPS3</v>
      </c>
      <c r="C130" s="5" t="str">
        <f t="shared" si="38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0.37929872033910644</v>
      </c>
      <c r="K130" s="1">
        <f>'[1]Electricity and CHPs'!G20</f>
        <v>4.4441184798172095</v>
      </c>
    </row>
    <row r="131" spans="1:17" x14ac:dyDescent="0.3">
      <c r="A131" s="5" t="str">
        <f t="shared" si="37"/>
        <v>STEM</v>
      </c>
      <c r="B131" s="5" t="str">
        <f t="shared" si="37"/>
        <v>SPS3</v>
      </c>
      <c r="C131" s="5" t="str">
        <f t="shared" si="38"/>
        <v>CH</v>
      </c>
      <c r="D131" t="s">
        <v>51</v>
      </c>
      <c r="E131" t="str">
        <f>E150</f>
        <v>PJ/yr.</v>
      </c>
      <c r="F131" s="1">
        <f>'[1]Electricity and CHPs'!B26</f>
        <v>1.5176375932469601</v>
      </c>
      <c r="G131" s="1">
        <f>'[1]Electricity and CHPs'!C26</f>
        <v>1.4122798487732393</v>
      </c>
      <c r="H131" s="1">
        <f>'[1]Electricity and CHPs'!D26</f>
        <v>1.4275003415542464</v>
      </c>
      <c r="I131" s="1">
        <f>'[1]Electricity and CHPs'!E26</f>
        <v>1.4427854534622324</v>
      </c>
      <c r="J131" s="1">
        <f>'[1]Electricity and CHPs'!F26</f>
        <v>1.268019322586017</v>
      </c>
      <c r="K131" s="1">
        <f>'[1]Electricity and CHPs'!G26</f>
        <v>0.69898858224938931</v>
      </c>
    </row>
    <row r="132" spans="1:17" x14ac:dyDescent="0.3">
      <c r="A132" s="5" t="str">
        <f t="shared" si="37"/>
        <v>STEM</v>
      </c>
      <c r="B132" s="5" t="str">
        <f t="shared" si="37"/>
        <v>SPS3</v>
      </c>
      <c r="C132" s="5" t="str">
        <f t="shared" si="38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6.3442460558246108E-2</v>
      </c>
      <c r="K132" s="1">
        <f>'[1]Electricity and CHPs'!G27</f>
        <v>0.71175386267601159</v>
      </c>
    </row>
    <row r="133" spans="1:17" x14ac:dyDescent="0.3">
      <c r="A133" s="5" t="str">
        <f t="shared" si="37"/>
        <v>STEM</v>
      </c>
      <c r="B133" s="5" t="str">
        <f t="shared" si="37"/>
        <v>SPS3</v>
      </c>
      <c r="C133" s="5" t="str">
        <f t="shared" si="38"/>
        <v>CH</v>
      </c>
      <c r="D133" t="s">
        <v>48</v>
      </c>
      <c r="E133" t="str">
        <f>E153</f>
        <v>PJ/yr.</v>
      </c>
      <c r="F133" s="1">
        <f>'[1]Electricity and CHPs'!B44</f>
        <v>0.23005357121902872</v>
      </c>
      <c r="G133" s="1">
        <f>'[1]Electricity and CHPs'!C44</f>
        <v>0.23016454846347228</v>
      </c>
      <c r="H133" s="1">
        <f>'[1]Electricity and CHPs'!D44</f>
        <v>0.33671168877001989</v>
      </c>
      <c r="I133" s="1">
        <f>'[1]Electricity and CHPs'!E44</f>
        <v>0.34371117046355926</v>
      </c>
      <c r="J133" s="1">
        <f>'[1]Electricity and CHPs'!F44</f>
        <v>0.63975841915920084</v>
      </c>
      <c r="K133" s="1">
        <f>'[1]Electricity and CHPs'!G44</f>
        <v>5.0317711512707123E-4</v>
      </c>
    </row>
    <row r="134" spans="1:17" x14ac:dyDescent="0.3">
      <c r="A134" s="5" t="str">
        <f t="shared" si="37"/>
        <v>STEM</v>
      </c>
      <c r="B134" s="5" t="str">
        <f t="shared" si="37"/>
        <v>SPS3</v>
      </c>
      <c r="C134" s="5" t="str">
        <f t="shared" si="38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1.1258247901738173E-2</v>
      </c>
      <c r="K134" s="1">
        <f>'[1]Electricity and CHPs'!G45</f>
        <v>0.5923411876871979</v>
      </c>
    </row>
    <row r="135" spans="1:17" x14ac:dyDescent="0.3">
      <c r="A135" s="5" t="str">
        <f t="shared" si="37"/>
        <v>STEM</v>
      </c>
      <c r="B135" s="5" t="str">
        <f t="shared" si="37"/>
        <v>SPS3</v>
      </c>
      <c r="C135" s="5" t="str">
        <f t="shared" si="38"/>
        <v>CH</v>
      </c>
      <c r="D135" t="s">
        <v>89</v>
      </c>
      <c r="E135" t="str">
        <f t="shared" ref="E135:E149" si="76">E134</f>
        <v>PJ/yr.</v>
      </c>
      <c r="F135" s="1">
        <f>SUM(F136:F139)</f>
        <v>4.0123206511997651</v>
      </c>
      <c r="G135" s="1">
        <f t="shared" ref="G135:K135" si="77">SUM(G136:G139)</f>
        <v>4.3575240505866333</v>
      </c>
      <c r="H135" s="1">
        <f t="shared" si="77"/>
        <v>4.4196649160272585</v>
      </c>
      <c r="I135" s="1">
        <f t="shared" si="77"/>
        <v>4.4715239251163572</v>
      </c>
      <c r="J135" s="1">
        <f t="shared" si="77"/>
        <v>4.8922016558362156</v>
      </c>
      <c r="K135" s="1">
        <f t="shared" si="77"/>
        <v>5.2541471836247764</v>
      </c>
      <c r="M135" s="1"/>
      <c r="N135" s="1"/>
      <c r="O135" s="1"/>
      <c r="P135" s="1"/>
      <c r="Q135" s="1"/>
    </row>
    <row r="136" spans="1:17" x14ac:dyDescent="0.3">
      <c r="A136" s="5" t="str">
        <f t="shared" si="37"/>
        <v>STEM</v>
      </c>
      <c r="B136" s="5" t="str">
        <f t="shared" si="37"/>
        <v>SPS3</v>
      </c>
      <c r="C136" s="5" t="str">
        <f t="shared" si="38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3.2535018545762853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3.6513841262000133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3.7059147452501358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3.7501311983852408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4.0368214040945309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2.3267167212534701</v>
      </c>
    </row>
    <row r="137" spans="1:17" x14ac:dyDescent="0.3">
      <c r="A137" s="5" t="str">
        <f t="shared" si="37"/>
        <v>STEM</v>
      </c>
      <c r="B137" s="5" t="str">
        <f t="shared" si="37"/>
        <v>SPS3</v>
      </c>
      <c r="C137" s="5" t="str">
        <f t="shared" si="38"/>
        <v>CH</v>
      </c>
      <c r="D137" t="s">
        <v>61</v>
      </c>
      <c r="E137" t="str">
        <f t="shared" si="76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0.18964936016955322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2.2220592399086048</v>
      </c>
    </row>
    <row r="138" spans="1:17" x14ac:dyDescent="0.3">
      <c r="A138" s="5" t="str">
        <f t="shared" si="37"/>
        <v>STEM</v>
      </c>
      <c r="B138" s="5" t="str">
        <f t="shared" si="37"/>
        <v>SPS3</v>
      </c>
      <c r="C138" s="5" t="str">
        <f t="shared" si="38"/>
        <v>CH</v>
      </c>
      <c r="D138" t="s">
        <v>62</v>
      </c>
      <c r="E138" t="str">
        <f t="shared" si="76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0.75881879662348006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0.70613992438661966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0.71375017077712322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0.72139272673111632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0.63400966129300851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0.34949429112469466</v>
      </c>
    </row>
    <row r="139" spans="1:17" x14ac:dyDescent="0.3">
      <c r="A139" s="5" t="str">
        <f t="shared" si="37"/>
        <v>STEM</v>
      </c>
      <c r="B139" s="5" t="str">
        <f t="shared" si="37"/>
        <v>SPS3</v>
      </c>
      <c r="C139" s="5" t="str">
        <f t="shared" si="38"/>
        <v>CH</v>
      </c>
      <c r="D139" t="s">
        <v>63</v>
      </c>
      <c r="E139" t="str">
        <f t="shared" si="76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3.1721230279123054E-2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0.35587693133800585</v>
      </c>
    </row>
    <row r="140" spans="1:17" x14ac:dyDescent="0.3">
      <c r="A140" s="5" t="str">
        <f t="shared" si="37"/>
        <v>STEM</v>
      </c>
      <c r="B140" s="5" t="str">
        <f t="shared" si="37"/>
        <v>SPS3</v>
      </c>
      <c r="C140" s="5" t="str">
        <f t="shared" si="38"/>
        <v>CH</v>
      </c>
      <c r="D140" t="s">
        <v>64</v>
      </c>
      <c r="E140" t="str">
        <f t="shared" si="76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3">
      <c r="A141" s="5" t="str">
        <f t="shared" si="37"/>
        <v>STEM</v>
      </c>
      <c r="B141" s="5" t="str">
        <f t="shared" si="37"/>
        <v>SPS3</v>
      </c>
      <c r="C141" s="5" t="str">
        <f t="shared" si="38"/>
        <v>CH</v>
      </c>
      <c r="D141" t="s">
        <v>65</v>
      </c>
      <c r="E141" t="str">
        <f t="shared" si="76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3">
      <c r="A142" s="5" t="str">
        <f t="shared" si="37"/>
        <v>STEM</v>
      </c>
      <c r="B142" s="5" t="str">
        <f t="shared" si="37"/>
        <v>SPS3</v>
      </c>
      <c r="C142" s="5" t="str">
        <f t="shared" si="38"/>
        <v>CH</v>
      </c>
      <c r="D142" t="s">
        <v>801</v>
      </c>
      <c r="E142" t="str">
        <f>E141</f>
        <v>PJ/yr.</v>
      </c>
      <c r="F142" s="1">
        <f>SUM(F143:F148)</f>
        <v>4.2423742224187935</v>
      </c>
      <c r="G142" s="1">
        <f t="shared" ref="G142:K142" si="78">SUM(G143:G148)</f>
        <v>4.5876885990501055</v>
      </c>
      <c r="H142" s="1">
        <f t="shared" si="78"/>
        <v>4.7563766047972784</v>
      </c>
      <c r="I142" s="1">
        <f t="shared" si="78"/>
        <v>4.8152350955799168</v>
      </c>
      <c r="J142" s="1">
        <f t="shared" si="78"/>
        <v>5.5432183228971548</v>
      </c>
      <c r="K142" s="1">
        <f t="shared" si="78"/>
        <v>5.8469915484271011</v>
      </c>
    </row>
    <row r="143" spans="1:17" x14ac:dyDescent="0.3">
      <c r="A143" s="5" t="str">
        <f t="shared" si="37"/>
        <v>STEM</v>
      </c>
      <c r="B143" s="5" t="str">
        <f t="shared" si="37"/>
        <v>SPS3</v>
      </c>
      <c r="C143" s="5" t="str">
        <f t="shared" si="38"/>
        <v>CH</v>
      </c>
      <c r="D143" t="s">
        <v>56</v>
      </c>
      <c r="E143" t="str">
        <f>E142</f>
        <v>PJ/yr.</v>
      </c>
      <c r="F143" s="1">
        <f>F129-F136</f>
        <v>3.2535018545762853</v>
      </c>
      <c r="G143" s="1">
        <f t="shared" ref="G143:K143" si="79">G129-G136</f>
        <v>3.6513841262000133</v>
      </c>
      <c r="H143" s="1">
        <f t="shared" si="79"/>
        <v>3.7059147452501358</v>
      </c>
      <c r="I143" s="1">
        <f t="shared" si="79"/>
        <v>3.7501311983852408</v>
      </c>
      <c r="J143" s="1">
        <f t="shared" si="79"/>
        <v>4.0368214040945309</v>
      </c>
      <c r="K143" s="1">
        <f t="shared" si="79"/>
        <v>2.3267167212534701</v>
      </c>
    </row>
    <row r="144" spans="1:17" x14ac:dyDescent="0.3">
      <c r="A144" s="5" t="str">
        <f t="shared" si="37"/>
        <v>STEM</v>
      </c>
      <c r="B144" s="5" t="str">
        <f t="shared" si="37"/>
        <v>SPS3</v>
      </c>
      <c r="C144" s="5" t="str">
        <f t="shared" si="38"/>
        <v>CH</v>
      </c>
      <c r="D144" t="s">
        <v>57</v>
      </c>
      <c r="E144" t="str">
        <f t="shared" si="76"/>
        <v>PJ/yr.</v>
      </c>
      <c r="F144" s="1">
        <f t="shared" ref="F144:K144" si="80">F130-F137</f>
        <v>0</v>
      </c>
      <c r="G144" s="1">
        <f t="shared" si="80"/>
        <v>0</v>
      </c>
      <c r="H144" s="1">
        <f t="shared" si="80"/>
        <v>0</v>
      </c>
      <c r="I144" s="1">
        <f t="shared" si="80"/>
        <v>0</v>
      </c>
      <c r="J144" s="1">
        <f t="shared" si="80"/>
        <v>0.18964936016955322</v>
      </c>
      <c r="K144" s="1">
        <f t="shared" si="80"/>
        <v>2.2220592399086048</v>
      </c>
    </row>
    <row r="145" spans="1:11" x14ac:dyDescent="0.3">
      <c r="A145" s="5" t="str">
        <f t="shared" si="37"/>
        <v>STEM</v>
      </c>
      <c r="B145" s="5" t="str">
        <f t="shared" si="37"/>
        <v>SPS3</v>
      </c>
      <c r="C145" s="5" t="str">
        <f t="shared" si="38"/>
        <v>CH</v>
      </c>
      <c r="D145" t="s">
        <v>58</v>
      </c>
      <c r="E145" t="str">
        <f t="shared" si="76"/>
        <v>PJ/yr.</v>
      </c>
      <c r="F145" s="1">
        <f t="shared" ref="F145:K145" si="81">F131-F138</f>
        <v>0.75881879662348006</v>
      </c>
      <c r="G145" s="1">
        <f t="shared" si="81"/>
        <v>0.70613992438661966</v>
      </c>
      <c r="H145" s="1">
        <f t="shared" si="81"/>
        <v>0.71375017077712322</v>
      </c>
      <c r="I145" s="1">
        <f t="shared" si="81"/>
        <v>0.7213927267311161</v>
      </c>
      <c r="J145" s="1">
        <f t="shared" si="81"/>
        <v>0.63400966129300851</v>
      </c>
      <c r="K145" s="1">
        <f t="shared" si="81"/>
        <v>0.34949429112469466</v>
      </c>
    </row>
    <row r="146" spans="1:11" x14ac:dyDescent="0.3">
      <c r="A146" s="5" t="str">
        <f t="shared" si="37"/>
        <v>STEM</v>
      </c>
      <c r="B146" s="5" t="str">
        <f t="shared" si="37"/>
        <v>SPS3</v>
      </c>
      <c r="C146" s="5" t="str">
        <f t="shared" si="38"/>
        <v>CH</v>
      </c>
      <c r="D146" t="s">
        <v>59</v>
      </c>
      <c r="E146" t="str">
        <f t="shared" si="76"/>
        <v>PJ/yr.</v>
      </c>
      <c r="F146" s="1">
        <f t="shared" ref="F146:K146" si="82">F132-F139</f>
        <v>0</v>
      </c>
      <c r="G146" s="1">
        <f t="shared" si="82"/>
        <v>0</v>
      </c>
      <c r="H146" s="1">
        <f t="shared" si="82"/>
        <v>0</v>
      </c>
      <c r="I146" s="1">
        <f t="shared" si="82"/>
        <v>0</v>
      </c>
      <c r="J146" s="1">
        <f t="shared" si="82"/>
        <v>3.1721230279123054E-2</v>
      </c>
      <c r="K146" s="1">
        <f t="shared" si="82"/>
        <v>0.35587693133800574</v>
      </c>
    </row>
    <row r="147" spans="1:11" x14ac:dyDescent="0.3">
      <c r="A147" s="5" t="str">
        <f t="shared" si="37"/>
        <v>STEM</v>
      </c>
      <c r="B147" s="5" t="str">
        <f t="shared" si="37"/>
        <v>SPS3</v>
      </c>
      <c r="C147" s="5" t="str">
        <f t="shared" si="38"/>
        <v>CH</v>
      </c>
      <c r="D147" t="s">
        <v>54</v>
      </c>
      <c r="E147" t="str">
        <f t="shared" si="76"/>
        <v>PJ/yr.</v>
      </c>
      <c r="F147" s="1">
        <f t="shared" ref="F147:K147" si="83">F133-F140</f>
        <v>0.23005357121902872</v>
      </c>
      <c r="G147" s="1">
        <f t="shared" si="83"/>
        <v>0.23016454846347228</v>
      </c>
      <c r="H147" s="1">
        <f t="shared" si="83"/>
        <v>0.33671168877001989</v>
      </c>
      <c r="I147" s="1">
        <f t="shared" si="83"/>
        <v>0.34371117046355926</v>
      </c>
      <c r="J147" s="1">
        <f t="shared" si="83"/>
        <v>0.63975841915920084</v>
      </c>
      <c r="K147" s="1">
        <f t="shared" si="83"/>
        <v>5.0317711512707123E-4</v>
      </c>
    </row>
    <row r="148" spans="1:11" x14ac:dyDescent="0.3">
      <c r="A148" s="5" t="str">
        <f t="shared" ref="A148:B179" si="84">A147</f>
        <v>STEM</v>
      </c>
      <c r="B148" s="5" t="str">
        <f t="shared" si="84"/>
        <v>SPS3</v>
      </c>
      <c r="C148" s="5" t="str">
        <f t="shared" ref="C148:C179" si="85">C147</f>
        <v>CH</v>
      </c>
      <c r="D148" t="s">
        <v>55</v>
      </c>
      <c r="E148" t="str">
        <f t="shared" si="76"/>
        <v>PJ/yr.</v>
      </c>
      <c r="F148" s="1">
        <f t="shared" ref="F148:K148" si="86">F134-F141</f>
        <v>0</v>
      </c>
      <c r="G148" s="1">
        <f t="shared" si="86"/>
        <v>0</v>
      </c>
      <c r="H148" s="1">
        <f t="shared" si="86"/>
        <v>0</v>
      </c>
      <c r="I148" s="1">
        <f t="shared" si="86"/>
        <v>0</v>
      </c>
      <c r="J148" s="1">
        <f t="shared" si="86"/>
        <v>1.1258247901738173E-2</v>
      </c>
      <c r="K148" s="1">
        <f t="shared" si="86"/>
        <v>0.5923411876871979</v>
      </c>
    </row>
    <row r="149" spans="1:11" x14ac:dyDescent="0.3">
      <c r="A149" s="5" t="str">
        <f t="shared" si="84"/>
        <v>STEM</v>
      </c>
      <c r="B149" s="5" t="str">
        <f t="shared" si="84"/>
        <v>SPS3</v>
      </c>
      <c r="C149" s="5" t="str">
        <f t="shared" si="85"/>
        <v>CH</v>
      </c>
      <c r="D149" t="s">
        <v>802</v>
      </c>
      <c r="E149" t="str">
        <f t="shared" si="76"/>
        <v>PJ/yr.</v>
      </c>
      <c r="F149" s="1">
        <f>SUM(F150:F156)</f>
        <v>0.60062438774121751</v>
      </c>
      <c r="G149" s="1">
        <f t="shared" ref="G149:K149" si="87">SUM(G150:G156)</f>
        <v>0.60607711484803706</v>
      </c>
      <c r="H149" s="1">
        <f t="shared" si="87"/>
        <v>1.5255097383249918</v>
      </c>
      <c r="I149" s="1">
        <f t="shared" si="87"/>
        <v>2.2342516875697447</v>
      </c>
      <c r="J149" s="1">
        <f t="shared" si="87"/>
        <v>4.5688648889478518</v>
      </c>
      <c r="K149" s="1">
        <f t="shared" si="87"/>
        <v>5.9133465317570986</v>
      </c>
    </row>
    <row r="150" spans="1:11" x14ac:dyDescent="0.3">
      <c r="A150" s="5" t="str">
        <f t="shared" si="84"/>
        <v>STEM</v>
      </c>
      <c r="B150" s="5" t="str">
        <f t="shared" si="84"/>
        <v>SPS3</v>
      </c>
      <c r="C150" s="5" t="str">
        <f t="shared" si="85"/>
        <v>CH</v>
      </c>
      <c r="D150" t="s">
        <v>66</v>
      </c>
      <c r="E150" t="str">
        <f>E84</f>
        <v>PJ/yr.</v>
      </c>
      <c r="F150" s="1">
        <f>'[1]Electricity and CHPs'!B25</f>
        <v>0.42809414414382357</v>
      </c>
      <c r="G150" s="1">
        <f>'[1]Electricity and CHPs'!C25</f>
        <v>8.4449676507685034E-2</v>
      </c>
      <c r="H150" s="1">
        <f>'[1]Electricity and CHPs'!D25</f>
        <v>0.38631788755040025</v>
      </c>
      <c r="I150" s="1">
        <f>'[1]Electricity and CHPs'!E25</f>
        <v>2.7745782215190379E-2</v>
      </c>
      <c r="J150" s="1">
        <f>'[1]Electricity and CHPs'!F25</f>
        <v>1.0936423249314058</v>
      </c>
      <c r="K150" s="1">
        <f>'[1]Electricity and CHPs'!G25</f>
        <v>1.5394160604487588</v>
      </c>
    </row>
    <row r="151" spans="1:11" x14ac:dyDescent="0.3">
      <c r="A151" s="5" t="str">
        <f t="shared" si="84"/>
        <v>STEM</v>
      </c>
      <c r="B151" s="5" t="str">
        <f t="shared" si="84"/>
        <v>SPS3</v>
      </c>
      <c r="C151" s="5" t="str">
        <f t="shared" si="8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8.0060465436315887E-3</v>
      </c>
      <c r="K151" s="1">
        <f>'[1]Electricity and CHPs'!G31</f>
        <v>0.4839391271702424</v>
      </c>
    </row>
    <row r="152" spans="1:11" x14ac:dyDescent="0.3">
      <c r="A152" s="5" t="str">
        <f t="shared" si="84"/>
        <v>STEM</v>
      </c>
      <c r="B152" s="5" t="str">
        <f t="shared" si="84"/>
        <v>SPS3</v>
      </c>
      <c r="C152" s="5" t="str">
        <f t="shared" si="85"/>
        <v>CH</v>
      </c>
      <c r="D152" t="s">
        <v>68</v>
      </c>
      <c r="E152" t="str">
        <f>E75</f>
        <v>PJ/yr.</v>
      </c>
      <c r="F152" s="1">
        <f>'[1]Electricity and CHPs'!B42</f>
        <v>0.17253024359739391</v>
      </c>
      <c r="G152" s="1">
        <f>'[1]Electricity and CHPs'!C42</f>
        <v>0.52162743834035197</v>
      </c>
      <c r="H152" s="1">
        <f>'[1]Electricity and CHPs'!D42</f>
        <v>1.1391918507745915</v>
      </c>
      <c r="I152" s="1">
        <f>'[1]Electricity and CHPs'!E42</f>
        <v>2.1997515441719355</v>
      </c>
      <c r="J152" s="1">
        <f>'[1]Electricity and CHPs'!F42</f>
        <v>1.1792892649605267</v>
      </c>
      <c r="K152" s="1">
        <f>'[1]Electricity and CHPs'!G42</f>
        <v>0.30986323751596478</v>
      </c>
    </row>
    <row r="153" spans="1:11" x14ac:dyDescent="0.3">
      <c r="A153" s="5" t="str">
        <f t="shared" si="84"/>
        <v>STEM</v>
      </c>
      <c r="B153" s="5" t="str">
        <f t="shared" si="84"/>
        <v>SPS3</v>
      </c>
      <c r="C153" s="5" t="str">
        <f t="shared" si="8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2.2026157736302046</v>
      </c>
      <c r="K153" s="1">
        <f>'[1]Electricity and CHPs'!G43</f>
        <v>3.5470966266585848</v>
      </c>
    </row>
    <row r="154" spans="1:11" x14ac:dyDescent="0.3">
      <c r="A154" s="5" t="str">
        <f t="shared" si="84"/>
        <v>STEM</v>
      </c>
      <c r="B154" s="5" t="str">
        <f t="shared" si="84"/>
        <v>SPS3</v>
      </c>
      <c r="C154" s="5" t="str">
        <f t="shared" si="8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2.3093858919534692E-3</v>
      </c>
      <c r="J154" s="1">
        <f>'[1]Electricity and CHPs'!F50</f>
        <v>1.7908553052840399E-2</v>
      </c>
      <c r="K154" s="1">
        <f>'[1]Electricity and CHPs'!G50</f>
        <v>8.2534582400861124E-3</v>
      </c>
    </row>
    <row r="155" spans="1:11" x14ac:dyDescent="0.3">
      <c r="A155" s="5" t="str">
        <f t="shared" si="84"/>
        <v>STEM</v>
      </c>
      <c r="B155" s="5" t="str">
        <f t="shared" si="84"/>
        <v>SPS3</v>
      </c>
      <c r="C155" s="5" t="str">
        <f t="shared" si="8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3.8454606313709739E-3</v>
      </c>
      <c r="J155" s="1">
        <f>'[1]Electricity and CHPs'!F53</f>
        <v>4.5925614439231127E-2</v>
      </c>
      <c r="K155" s="1">
        <f>'[1]Electricity and CHPs'!G53</f>
        <v>2.0999236111747616E-2</v>
      </c>
    </row>
    <row r="156" spans="1:11" x14ac:dyDescent="0.3">
      <c r="A156" s="5" t="str">
        <f t="shared" si="84"/>
        <v>STEM</v>
      </c>
      <c r="B156" s="5" t="str">
        <f t="shared" si="84"/>
        <v>SPS3</v>
      </c>
      <c r="C156" s="5" t="str">
        <f t="shared" si="8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5.9951465929474802E-4</v>
      </c>
      <c r="J156" s="1">
        <f>'[1]Electricity and CHPs'!F56</f>
        <v>2.1477311390011557E-2</v>
      </c>
      <c r="K156" s="1">
        <f>'[1]Electricity and CHPs'!G56</f>
        <v>3.778785611714605E-3</v>
      </c>
    </row>
    <row r="157" spans="1:11" x14ac:dyDescent="0.3">
      <c r="A157" s="5" t="str">
        <f t="shared" si="84"/>
        <v>STEM</v>
      </c>
      <c r="B157" s="5" t="str">
        <f t="shared" si="84"/>
        <v>SPS3</v>
      </c>
      <c r="C157" s="5" t="str">
        <f t="shared" si="8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88">G158</f>
        <v>0.54529215891333116</v>
      </c>
      <c r="H157" s="1">
        <f t="shared" si="88"/>
        <v>1.053736054748607</v>
      </c>
      <c r="I157" s="1">
        <f t="shared" si="88"/>
        <v>2.0502647086101042</v>
      </c>
      <c r="J157" s="1">
        <f t="shared" si="88"/>
        <v>5.0205316414291739</v>
      </c>
      <c r="K157" s="1">
        <f t="shared" si="88"/>
        <v>6.1200039083223396</v>
      </c>
    </row>
    <row r="158" spans="1:11" x14ac:dyDescent="0.3">
      <c r="A158" s="5" t="str">
        <f t="shared" si="84"/>
        <v>STEM</v>
      </c>
      <c r="B158" s="5" t="str">
        <f t="shared" si="84"/>
        <v>SPS3</v>
      </c>
      <c r="C158" s="5" t="str">
        <f t="shared" si="8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0.54529215891333116</v>
      </c>
      <c r="H158" s="1">
        <f>'[1]Electricity and CHPs'!D33</f>
        <v>1.053736054748607</v>
      </c>
      <c r="I158" s="1">
        <f>'[1]Electricity and CHPs'!E33</f>
        <v>2.0502647086101042</v>
      </c>
      <c r="J158" s="1">
        <f>'[1]Electricity and CHPs'!F33</f>
        <v>5.0205316414291739</v>
      </c>
      <c r="K158" s="1">
        <f>'[1]Electricity and CHPs'!G33</f>
        <v>6.1200039083223396</v>
      </c>
    </row>
    <row r="159" spans="1:11" x14ac:dyDescent="0.3">
      <c r="A159" s="5" t="str">
        <f t="shared" si="84"/>
        <v>STEM</v>
      </c>
      <c r="B159" s="5" t="str">
        <f t="shared" si="84"/>
        <v>SPS3</v>
      </c>
      <c r="C159" s="5" t="str">
        <f t="shared" si="8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89">SUM(G160:G164)</f>
        <v>12.822602262035604</v>
      </c>
      <c r="H159" s="1">
        <f t="shared" si="89"/>
        <v>28.800036474833561</v>
      </c>
      <c r="I159" s="1">
        <f t="shared" si="89"/>
        <v>31.320129878887887</v>
      </c>
      <c r="J159" s="1">
        <f t="shared" si="89"/>
        <v>60.66015200495228</v>
      </c>
      <c r="K159" s="1">
        <f t="shared" si="89"/>
        <v>90.000064678843771</v>
      </c>
    </row>
    <row r="160" spans="1:11" x14ac:dyDescent="0.3">
      <c r="A160" s="5" t="str">
        <f t="shared" si="84"/>
        <v>STEM</v>
      </c>
      <c r="B160" s="5" t="str">
        <f t="shared" si="84"/>
        <v>SPS3</v>
      </c>
      <c r="C160" s="5" t="str">
        <f t="shared" si="8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5.3129421494185695E-2</v>
      </c>
      <c r="I160" s="1">
        <f>'[1]Electricity and CHPs'!E34</f>
        <v>5.8861098474170703E-2</v>
      </c>
      <c r="J160" s="1">
        <f>'[1]Electricity and CHPs'!F34</f>
        <v>2.0843769458723442</v>
      </c>
      <c r="K160" s="1">
        <f>'[1]Electricity and CHPs'!G34</f>
        <v>7.7339653579324867</v>
      </c>
    </row>
    <row r="161" spans="1:11" x14ac:dyDescent="0.3">
      <c r="A161" s="5" t="str">
        <f t="shared" si="84"/>
        <v>STEM</v>
      </c>
      <c r="B161" s="5" t="str">
        <f t="shared" si="84"/>
        <v>SPS3</v>
      </c>
      <c r="C161" s="5" t="str">
        <f t="shared" si="8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4.8498358842776508</v>
      </c>
      <c r="H161" s="1">
        <f>'[1]Electricity and CHPs'!D35</f>
        <v>11.161606387791492</v>
      </c>
      <c r="I161" s="1">
        <f>'[1]Electricity and CHPs'!E35</f>
        <v>12.259650293068507</v>
      </c>
      <c r="J161" s="1">
        <f>'[1]Electricity and CHPs'!F35</f>
        <v>40.833968620879681</v>
      </c>
      <c r="K161" s="1">
        <f>'[1]Electricity and CHPs'!G35</f>
        <v>64.332956945235054</v>
      </c>
    </row>
    <row r="162" spans="1:11" x14ac:dyDescent="0.3">
      <c r="A162" s="5" t="str">
        <f t="shared" si="84"/>
        <v>STEM</v>
      </c>
      <c r="B162" s="5" t="str">
        <f t="shared" si="84"/>
        <v>SPS3</v>
      </c>
      <c r="C162" s="5" t="str">
        <f t="shared" si="8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3.3906966681339283</v>
      </c>
      <c r="H162" s="1">
        <f>'[1]Electricity and CHPs'!D36</f>
        <v>4.0596118776429702</v>
      </c>
      <c r="I162" s="1">
        <f>'[1]Electricity and CHPs'!E36</f>
        <v>4.3652859142233682</v>
      </c>
      <c r="J162" s="1">
        <f>'[1]Electricity and CHPs'!F36</f>
        <v>1.5725356698252446</v>
      </c>
      <c r="K162" s="1">
        <f>'[1]Electricity and CHPs'!G36</f>
        <v>7.1054248833516742E-2</v>
      </c>
    </row>
    <row r="163" spans="1:11" x14ac:dyDescent="0.3">
      <c r="A163" s="5" t="str">
        <f t="shared" si="84"/>
        <v>STEM</v>
      </c>
      <c r="B163" s="5" t="str">
        <f t="shared" si="84"/>
        <v>SPS3</v>
      </c>
      <c r="C163" s="5" t="str">
        <f t="shared" si="8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1.2876145147246605</v>
      </c>
      <c r="H163" s="1">
        <f>'[1]Electricity and CHPs'!D37</f>
        <v>3.5608360731495665</v>
      </c>
      <c r="I163" s="1">
        <f>'[1]Electricity and CHPs'!E37</f>
        <v>3.9005191064048668</v>
      </c>
      <c r="J163" s="1">
        <f>'[1]Electricity and CHPs'!F37</f>
        <v>4.3090860811542964</v>
      </c>
      <c r="K163" s="1">
        <f>'[1]Electricity and CHPs'!G37</f>
        <v>4.7604085600527091</v>
      </c>
    </row>
    <row r="164" spans="1:11" x14ac:dyDescent="0.3">
      <c r="A164" s="5" t="str">
        <f t="shared" si="84"/>
        <v>STEM</v>
      </c>
      <c r="B164" s="5" t="str">
        <f t="shared" si="84"/>
        <v>SPS3</v>
      </c>
      <c r="C164" s="5" t="str">
        <f t="shared" si="8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3.2944551948993634</v>
      </c>
      <c r="H164" s="1">
        <f>'[1]Electricity and CHPs'!D38</f>
        <v>9.9648527147553452</v>
      </c>
      <c r="I164" s="1">
        <f>'[1]Electricity and CHPs'!E38</f>
        <v>10.735813466716973</v>
      </c>
      <c r="J164" s="1">
        <f>'[1]Electricity and CHPs'!F38</f>
        <v>11.860184687220714</v>
      </c>
      <c r="K164" s="1">
        <f>'[1]Electricity and CHPs'!G38</f>
        <v>13.101679566789995</v>
      </c>
    </row>
    <row r="165" spans="1:11" x14ac:dyDescent="0.3">
      <c r="A165" s="5" t="str">
        <f>A168</f>
        <v>STEM</v>
      </c>
      <c r="B165" s="5" t="str">
        <f t="shared" si="84"/>
        <v>SPS3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0</v>
      </c>
      <c r="K165" s="1">
        <f>'[1]Electricity and CHPs'!G32</f>
        <v>0</v>
      </c>
    </row>
    <row r="166" spans="1:11" x14ac:dyDescent="0.3">
      <c r="A166" s="5" t="str">
        <f t="shared" ref="A166" si="90">A165</f>
        <v>STEM</v>
      </c>
      <c r="B166" s="5" t="str">
        <f t="shared" si="84"/>
        <v>SPS3</v>
      </c>
      <c r="C166" s="5" t="str">
        <f t="shared" ref="C166" si="91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92">G165</f>
        <v>0</v>
      </c>
      <c r="H166" s="1">
        <f t="shared" si="92"/>
        <v>0</v>
      </c>
      <c r="I166" s="1">
        <f t="shared" si="92"/>
        <v>0</v>
      </c>
      <c r="J166" s="1">
        <f t="shared" si="92"/>
        <v>0</v>
      </c>
      <c r="K166" s="1">
        <f t="shared" si="92"/>
        <v>0</v>
      </c>
    </row>
    <row r="167" spans="1:11" x14ac:dyDescent="0.3">
      <c r="A167" s="5" t="str">
        <f>A164</f>
        <v>STEM</v>
      </c>
      <c r="B167" s="5" t="str">
        <f t="shared" si="84"/>
        <v>SPS3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93">SUM(F168:F170)</f>
        <v>0</v>
      </c>
      <c r="G167" s="1">
        <f t="shared" si="93"/>
        <v>0</v>
      </c>
      <c r="H167" s="1">
        <f t="shared" si="93"/>
        <v>0</v>
      </c>
      <c r="I167" s="1">
        <f t="shared" si="93"/>
        <v>1.8483501743361366E-3</v>
      </c>
      <c r="J167" s="1">
        <f t="shared" si="93"/>
        <v>1.322354196285682E-2</v>
      </c>
      <c r="K167" s="1">
        <f t="shared" si="93"/>
        <v>5.26352378529144</v>
      </c>
    </row>
    <row r="168" spans="1:11" x14ac:dyDescent="0.3">
      <c r="A168" s="5" t="str">
        <f t="shared" si="84"/>
        <v>STEM</v>
      </c>
      <c r="B168" s="5" t="str">
        <f t="shared" si="84"/>
        <v>SPS3</v>
      </c>
      <c r="C168" s="5" t="str">
        <f t="shared" si="8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2.4622556161880134E-3</v>
      </c>
      <c r="K168" s="1">
        <f>'[1]Electricity and CHPs'!G30</f>
        <v>0.2785915585877774</v>
      </c>
    </row>
    <row r="169" spans="1:11" x14ac:dyDescent="0.3">
      <c r="A169" s="5" t="str">
        <f>A165</f>
        <v>STEM</v>
      </c>
      <c r="B169" s="5" t="str">
        <f t="shared" si="84"/>
        <v>SPS3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0</v>
      </c>
      <c r="J169" s="1">
        <f>'[1]Electricity and CHPs'!F46</f>
        <v>6.1553830886719764E-3</v>
      </c>
      <c r="K169" s="1">
        <f>'[1]Electricity and CHPs'!G46</f>
        <v>4.9530258686970505</v>
      </c>
    </row>
    <row r="170" spans="1:11" x14ac:dyDescent="0.3">
      <c r="A170" s="5" t="str">
        <f t="shared" si="84"/>
        <v>STEM</v>
      </c>
      <c r="B170" s="5" t="str">
        <f t="shared" si="84"/>
        <v>SPS3</v>
      </c>
      <c r="C170" s="5" t="str">
        <f t="shared" si="85"/>
        <v>CH</v>
      </c>
      <c r="D170" t="s">
        <v>234</v>
      </c>
      <c r="E170" t="str">
        <f t="shared" ref="E170:E178" si="94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1.8483501743361366E-3</v>
      </c>
      <c r="J170" s="1">
        <f>'[1]Electricity and CHPs'!F57</f>
        <v>4.6059032579968294E-3</v>
      </c>
      <c r="K170" s="1">
        <f>'[1]Electricity and CHPs'!G57</f>
        <v>3.1906358006612387E-2</v>
      </c>
    </row>
    <row r="171" spans="1:11" x14ac:dyDescent="0.3">
      <c r="A171" s="5" t="str">
        <f t="shared" si="84"/>
        <v>STEM</v>
      </c>
      <c r="B171" s="5" t="str">
        <f t="shared" si="84"/>
        <v>SPS3</v>
      </c>
      <c r="C171" s="5" t="str">
        <f t="shared" si="85"/>
        <v>CH</v>
      </c>
      <c r="D171" t="s">
        <v>807</v>
      </c>
      <c r="E171" t="str">
        <f t="shared" si="94"/>
        <v>PJ/yr.</v>
      </c>
      <c r="F171" s="1">
        <f>SUM(F172:F178)</f>
        <v>0.23159339924326314</v>
      </c>
      <c r="G171" s="1">
        <f t="shared" ref="G171:K171" si="95">SUM(G172:G178)</f>
        <v>0.15812486615227872</v>
      </c>
      <c r="H171" s="1">
        <f t="shared" si="95"/>
        <v>0.230753015825233</v>
      </c>
      <c r="I171" s="1">
        <f t="shared" si="95"/>
        <v>3.681807224995249E-2</v>
      </c>
      <c r="J171" s="1">
        <f t="shared" si="95"/>
        <v>0.4092789906796433</v>
      </c>
      <c r="K171" s="1">
        <f t="shared" si="95"/>
        <v>0.77369362238422601</v>
      </c>
    </row>
    <row r="172" spans="1:11" x14ac:dyDescent="0.3">
      <c r="A172" s="5" t="str">
        <f t="shared" si="84"/>
        <v>STEM</v>
      </c>
      <c r="B172" s="5" t="str">
        <f t="shared" si="84"/>
        <v>SPS3</v>
      </c>
      <c r="C172" s="5" t="str">
        <f t="shared" si="85"/>
        <v>CH</v>
      </c>
      <c r="D172" t="s">
        <v>79</v>
      </c>
      <c r="E172" t="str">
        <f t="shared" si="94"/>
        <v>PJ/yr.</v>
      </c>
      <c r="F172" s="1">
        <f>'[1]Electricity and CHPs'!B70</f>
        <v>9.5887953797421849E-2</v>
      </c>
      <c r="G172" s="1">
        <f>'[1]Electricity and CHPs'!C70</f>
        <v>3.2116964386312473E-2</v>
      </c>
      <c r="H172" s="1">
        <f>'[1]Electricity and CHPs'!D70</f>
        <v>9.4381266806551123E-2</v>
      </c>
      <c r="I172" s="1">
        <f>'[1]Electricity and CHPs'!E70</f>
        <v>3.8801134348479194E-4</v>
      </c>
      <c r="J172" s="1">
        <f>'[1]Electricity and CHPs'!F70</f>
        <v>1.6233071021883039E-2</v>
      </c>
      <c r="K172" s="1">
        <f>'[1]Electricity and CHPs'!G70</f>
        <v>2.2651254038046638E-2</v>
      </c>
    </row>
    <row r="173" spans="1:11" x14ac:dyDescent="0.3">
      <c r="A173" s="5" t="str">
        <f t="shared" si="84"/>
        <v>STEM</v>
      </c>
      <c r="B173" s="5" t="str">
        <f t="shared" si="84"/>
        <v>SPS3</v>
      </c>
      <c r="C173" s="5" t="str">
        <f t="shared" si="85"/>
        <v>CH</v>
      </c>
      <c r="D173" t="s">
        <v>80</v>
      </c>
      <c r="E173" t="str">
        <f t="shared" si="94"/>
        <v>PJ/yr.</v>
      </c>
      <c r="F173" s="1">
        <f>'[1]Electricity and CHPs'!B71</f>
        <v>3.7206558911543973E-2</v>
      </c>
      <c r="G173" s="1">
        <f>'[1]Electricity and CHPs'!C71</f>
        <v>3.2840883030000878E-2</v>
      </c>
      <c r="H173" s="1">
        <f>'[1]Electricity and CHPs'!D71</f>
        <v>3.7213135391045676E-2</v>
      </c>
      <c r="I173" s="1">
        <f>'[1]Electricity and CHPs'!E71</f>
        <v>4.2294509329925522E-3</v>
      </c>
      <c r="J173" s="1">
        <f>'[1]Electricity and CHPs'!F71</f>
        <v>4.1832443088001693E-2</v>
      </c>
      <c r="K173" s="1">
        <f>'[1]Electricity and CHPs'!G71</f>
        <v>0.27616780198838203</v>
      </c>
    </row>
    <row r="174" spans="1:11" x14ac:dyDescent="0.3">
      <c r="A174" s="5" t="str">
        <f t="shared" si="84"/>
        <v>STEM</v>
      </c>
      <c r="B174" s="5" t="str">
        <f t="shared" si="84"/>
        <v>SPS3</v>
      </c>
      <c r="C174" s="5" t="str">
        <f t="shared" si="85"/>
        <v>CH</v>
      </c>
      <c r="D174" t="s">
        <v>81</v>
      </c>
      <c r="E174" t="str">
        <f t="shared" si="94"/>
        <v>PJ/yr.</v>
      </c>
      <c r="F174" s="1">
        <f>'[1]Electricity and CHPs'!B72</f>
        <v>3.3894676791469097E-2</v>
      </c>
      <c r="G174" s="1">
        <f>'[1]Electricity and CHPs'!C72</f>
        <v>2.8914932584396744E-2</v>
      </c>
      <c r="H174" s="1">
        <f>'[1]Electricity and CHPs'!D72</f>
        <v>3.4058131089532644E-2</v>
      </c>
      <c r="I174" s="1">
        <f>'[1]Electricity and CHPs'!E72</f>
        <v>5.5136418556985863E-3</v>
      </c>
      <c r="J174" s="1">
        <f>'[1]Electricity and CHPs'!F72</f>
        <v>4.6831105219334243E-2</v>
      </c>
      <c r="K174" s="1">
        <f>'[1]Electricity and CHPs'!G72</f>
        <v>0.13473962127293104</v>
      </c>
    </row>
    <row r="175" spans="1:11" x14ac:dyDescent="0.3">
      <c r="A175" s="5" t="str">
        <f t="shared" si="84"/>
        <v>STEM</v>
      </c>
      <c r="B175" s="5" t="str">
        <f t="shared" si="84"/>
        <v>SPS3</v>
      </c>
      <c r="C175" s="5" t="str">
        <f t="shared" si="85"/>
        <v>CH</v>
      </c>
      <c r="D175" t="s">
        <v>82</v>
      </c>
      <c r="E175" t="str">
        <f t="shared" si="94"/>
        <v>PJ/yr.</v>
      </c>
      <c r="F175" s="1">
        <f>'[1]Electricity and CHPs'!B73</f>
        <v>1.0780908172865453E-2</v>
      </c>
      <c r="G175" s="1">
        <f>'[1]Electricity and CHPs'!C73</f>
        <v>1.0722898046351981E-2</v>
      </c>
      <c r="H175" s="1">
        <f>'[1]Electricity and CHPs'!D73</f>
        <v>1.0853586839571359E-2</v>
      </c>
      <c r="I175" s="1">
        <f>'[1]Electricity and CHPs'!E73</f>
        <v>5.9379508779026481E-3</v>
      </c>
      <c r="J175" s="1">
        <f>'[1]Electricity and CHPs'!F73</f>
        <v>7.2629858016045143E-2</v>
      </c>
      <c r="K175" s="1">
        <f>'[1]Electricity and CHPs'!G73</f>
        <v>9.557952302520939E-2</v>
      </c>
    </row>
    <row r="176" spans="1:11" x14ac:dyDescent="0.3">
      <c r="A176" s="5" t="str">
        <f t="shared" si="84"/>
        <v>STEM</v>
      </c>
      <c r="B176" s="5" t="str">
        <f t="shared" si="84"/>
        <v>SPS3</v>
      </c>
      <c r="C176" s="5" t="str">
        <f t="shared" si="85"/>
        <v>CH</v>
      </c>
      <c r="D176" t="s">
        <v>1853</v>
      </c>
      <c r="E176" t="str">
        <f t="shared" si="94"/>
        <v>PJ/yr.</v>
      </c>
      <c r="F176" s="1">
        <f>'[1]Electricity and CHPs'!B74</f>
        <v>2.1505989376031834E-2</v>
      </c>
      <c r="G176" s="1">
        <f>'[1]Electricity and CHPs'!C74</f>
        <v>2.1388575623445844E-2</v>
      </c>
      <c r="H176" s="1">
        <f>'[1]Electricity and CHPs'!D74</f>
        <v>2.1683877228805853E-2</v>
      </c>
      <c r="I176" s="1">
        <f>'[1]Electricity and CHPs'!E74</f>
        <v>7.4299742347440148E-3</v>
      </c>
      <c r="J176" s="1">
        <f>'[1]Electricity and CHPs'!F74</f>
        <v>8.4583599083113942E-2</v>
      </c>
      <c r="K176" s="1">
        <f>'[1]Electricity and CHPs'!G74</f>
        <v>9.295422930262548E-2</v>
      </c>
    </row>
    <row r="177" spans="1:11" x14ac:dyDescent="0.3">
      <c r="A177" s="5" t="str">
        <f t="shared" si="84"/>
        <v>STEM</v>
      </c>
      <c r="B177" s="5" t="str">
        <f t="shared" si="84"/>
        <v>SPS3</v>
      </c>
      <c r="C177" s="5" t="str">
        <f t="shared" si="85"/>
        <v>CH</v>
      </c>
      <c r="D177" t="s">
        <v>83</v>
      </c>
      <c r="E177" t="str">
        <f t="shared" si="94"/>
        <v>PJ/yr.</v>
      </c>
      <c r="F177" s="1">
        <f>'[1]Electricity and CHPs'!B75</f>
        <v>2.1502163801936064E-2</v>
      </c>
      <c r="G177" s="1">
        <f>'[1]Electricity and CHPs'!C75</f>
        <v>2.1384529293853056E-2</v>
      </c>
      <c r="H177" s="1">
        <f>'[1]Electricity and CHPs'!D75</f>
        <v>2.1678982931162716E-2</v>
      </c>
      <c r="I177" s="1">
        <f>'[1]Electricity and CHPs'!E75</f>
        <v>7.4216858480314982E-3</v>
      </c>
      <c r="J177" s="1">
        <f>'[1]Electricity and CHPs'!F75</f>
        <v>8.5840695650490198E-2</v>
      </c>
      <c r="K177" s="1">
        <f>'[1]Electricity and CHPs'!G75</f>
        <v>9.2994211947933572E-2</v>
      </c>
    </row>
    <row r="178" spans="1:11" x14ac:dyDescent="0.3">
      <c r="A178" s="5" t="str">
        <f t="shared" si="84"/>
        <v>STEM</v>
      </c>
      <c r="B178" s="5" t="str">
        <f t="shared" si="84"/>
        <v>SPS3</v>
      </c>
      <c r="C178" s="5" t="str">
        <f t="shared" si="85"/>
        <v>CH</v>
      </c>
      <c r="D178" t="s">
        <v>87</v>
      </c>
      <c r="E178" t="str">
        <f t="shared" si="94"/>
        <v>PJ/yr.</v>
      </c>
      <c r="F178" s="1">
        <f>'[1]Electricity and CHPs'!B76</f>
        <v>1.0815148391994886E-2</v>
      </c>
      <c r="G178" s="1">
        <f>'[1]Electricity and CHPs'!C76</f>
        <v>1.0756083187917733E-2</v>
      </c>
      <c r="H178" s="1">
        <f>'[1]Electricity and CHPs'!D76</f>
        <v>1.0884035538563619E-2</v>
      </c>
      <c r="I178" s="1">
        <f>'[1]Electricity and CHPs'!E76</f>
        <v>5.8973571570983966E-3</v>
      </c>
      <c r="J178" s="1">
        <f>'[1]Electricity and CHPs'!F76</f>
        <v>6.1328218600775086E-2</v>
      </c>
      <c r="K178" s="1">
        <f>'[1]Electricity and CHPs'!G76</f>
        <v>5.860698080909784E-2</v>
      </c>
    </row>
    <row r="179" spans="1:11" x14ac:dyDescent="0.3">
      <c r="A179" s="9" t="str">
        <f t="shared" si="84"/>
        <v>STEM</v>
      </c>
      <c r="B179" s="9" t="str">
        <f t="shared" si="84"/>
        <v>SPS3</v>
      </c>
      <c r="C179" s="2" t="str">
        <f t="shared" si="85"/>
        <v>CH</v>
      </c>
      <c r="D179" s="2" t="s">
        <v>152</v>
      </c>
      <c r="E179" s="2" t="str">
        <f>E167</f>
        <v>PJ/yr.</v>
      </c>
      <c r="F179" s="3">
        <f>SUM(F180,F231)</f>
        <v>29.920956817402384</v>
      </c>
      <c r="G179" s="3">
        <f t="shared" ref="G179:K179" si="96">SUM(G180,G231)</f>
        <v>33.742228448189088</v>
      </c>
      <c r="H179" s="3">
        <f t="shared" si="96"/>
        <v>33.875083772070695</v>
      </c>
      <c r="I179" s="3">
        <f t="shared" si="96"/>
        <v>33.136976511502922</v>
      </c>
      <c r="J179" s="3">
        <f t="shared" si="96"/>
        <v>46.295474640258803</v>
      </c>
      <c r="K179" s="3">
        <f t="shared" si="96"/>
        <v>46.636891450106312</v>
      </c>
    </row>
    <row r="180" spans="1:11" x14ac:dyDescent="0.3">
      <c r="A180" s="5" t="s">
        <v>5</v>
      </c>
      <c r="B180" s="5" t="str">
        <f t="shared" ref="B180:B243" si="97">B179</f>
        <v>SPS3</v>
      </c>
      <c r="C180" s="5" t="s">
        <v>7</v>
      </c>
      <c r="D180" t="s">
        <v>808</v>
      </c>
      <c r="E180" t="str">
        <f>E168</f>
        <v>PJ/yr.</v>
      </c>
      <c r="F180" s="1">
        <f t="shared" ref="F180:K180" si="98">F181+F208</f>
        <v>23.058189098440497</v>
      </c>
      <c r="G180" s="1">
        <f t="shared" si="98"/>
        <v>25.546764146641635</v>
      </c>
      <c r="H180" s="1">
        <f t="shared" si="98"/>
        <v>26.154413084313099</v>
      </c>
      <c r="I180" s="1">
        <f t="shared" si="98"/>
        <v>24.796325495545538</v>
      </c>
      <c r="J180" s="1">
        <f t="shared" si="98"/>
        <v>26.570301125929635</v>
      </c>
      <c r="K180" s="1">
        <f t="shared" si="98"/>
        <v>30.227211280668101</v>
      </c>
    </row>
    <row r="181" spans="1:11" x14ac:dyDescent="0.3">
      <c r="A181" s="5" t="s">
        <v>5</v>
      </c>
      <c r="B181" s="5" t="str">
        <f t="shared" si="97"/>
        <v>SPS3</v>
      </c>
      <c r="C181" s="5" t="s">
        <v>7</v>
      </c>
      <c r="D181" t="s">
        <v>823</v>
      </c>
      <c r="E181" t="str">
        <f>E165</f>
        <v>PJ/yr.</v>
      </c>
      <c r="F181" s="1">
        <f t="shared" ref="F181:K181" si="99">SUM(F183,F187,F188,F196,F197,F205,F207)</f>
        <v>17.305044790379064</v>
      </c>
      <c r="G181" s="1">
        <f t="shared" si="99"/>
        <v>13.534326446002705</v>
      </c>
      <c r="H181" s="1">
        <f t="shared" si="99"/>
        <v>14.256254242368309</v>
      </c>
      <c r="I181" s="1">
        <f t="shared" si="99"/>
        <v>13.016044207337602</v>
      </c>
      <c r="J181" s="1">
        <f t="shared" si="99"/>
        <v>15.046772703189355</v>
      </c>
      <c r="K181" s="1">
        <f t="shared" si="99"/>
        <v>16.057233626766354</v>
      </c>
    </row>
    <row r="182" spans="1:11" x14ac:dyDescent="0.3">
      <c r="A182" s="5" t="s">
        <v>5</v>
      </c>
      <c r="B182" s="5" t="str">
        <f t="shared" si="97"/>
        <v>SPS3</v>
      </c>
      <c r="C182" s="5" t="s">
        <v>7</v>
      </c>
      <c r="D182" t="s">
        <v>809</v>
      </c>
      <c r="E182" t="s">
        <v>8</v>
      </c>
      <c r="F182" s="1">
        <f>F183</f>
        <v>9.3004134954803499E-3</v>
      </c>
      <c r="G182" s="1">
        <f t="shared" ref="G182:K182" si="100">G183</f>
        <v>4.5406818903221275E-4</v>
      </c>
      <c r="H182" s="1">
        <f t="shared" si="100"/>
        <v>1.6562043289085254E-2</v>
      </c>
      <c r="I182" s="1">
        <f t="shared" si="100"/>
        <v>1.2969709770594385E-2</v>
      </c>
      <c r="J182" s="1">
        <f t="shared" si="100"/>
        <v>3.7269317074579856E-3</v>
      </c>
      <c r="K182" s="1">
        <f t="shared" si="100"/>
        <v>5.1845566267859008E-5</v>
      </c>
    </row>
    <row r="183" spans="1:11" x14ac:dyDescent="0.3">
      <c r="A183" s="5" t="s">
        <v>5</v>
      </c>
      <c r="B183" s="5" t="str">
        <f t="shared" si="97"/>
        <v>SPS3</v>
      </c>
      <c r="C183" s="5" t="s">
        <v>7</v>
      </c>
      <c r="D183" t="s">
        <v>229</v>
      </c>
      <c r="E183" t="s">
        <v>8</v>
      </c>
      <c r="F183" s="1">
        <f>'[1]Electricity and CHPs'!B$94</f>
        <v>9.3004134954803499E-3</v>
      </c>
      <c r="G183" s="1">
        <f>'[1]Electricity and CHPs'!C$94</f>
        <v>4.5406818903221275E-4</v>
      </c>
      <c r="H183" s="1">
        <f>'[1]Electricity and CHPs'!D$94</f>
        <v>1.6562043289085254E-2</v>
      </c>
      <c r="I183" s="1">
        <f>'[1]Electricity and CHPs'!E$94</f>
        <v>1.2969709770594385E-2</v>
      </c>
      <c r="J183" s="1">
        <f>'[1]Electricity and CHPs'!F$94</f>
        <v>3.7269317074579856E-3</v>
      </c>
      <c r="K183" s="1">
        <f>'[1]Electricity and CHPs'!G$94</f>
        <v>5.1845566267859008E-5</v>
      </c>
    </row>
    <row r="184" spans="1:11" x14ac:dyDescent="0.3">
      <c r="A184" s="5" t="s">
        <v>5</v>
      </c>
      <c r="B184" s="5" t="str">
        <f t="shared" si="97"/>
        <v>SPS3</v>
      </c>
      <c r="C184" s="5" t="s">
        <v>7</v>
      </c>
      <c r="D184" t="s">
        <v>517</v>
      </c>
      <c r="E184" t="s">
        <v>8</v>
      </c>
      <c r="F184" s="1">
        <f>F183-F185</f>
        <v>9.3004134954803499E-3</v>
      </c>
      <c r="G184" s="1">
        <f t="shared" ref="G184:K184" si="101">G183-G185</f>
        <v>4.5406818903221275E-4</v>
      </c>
      <c r="H184" s="1">
        <f t="shared" si="101"/>
        <v>1.6562043289085254E-2</v>
      </c>
      <c r="I184" s="1">
        <f t="shared" si="101"/>
        <v>1.2969709770594385E-2</v>
      </c>
      <c r="J184" s="1">
        <f t="shared" si="101"/>
        <v>3.7269317074579856E-3</v>
      </c>
      <c r="K184" s="1">
        <f t="shared" si="101"/>
        <v>5.1845566267859008E-5</v>
      </c>
    </row>
    <row r="185" spans="1:11" x14ac:dyDescent="0.3">
      <c r="A185" s="5" t="s">
        <v>5</v>
      </c>
      <c r="B185" s="5" t="str">
        <f t="shared" si="97"/>
        <v>SPS3</v>
      </c>
      <c r="C185" s="5" t="s">
        <v>7</v>
      </c>
      <c r="D185" t="s">
        <v>541</v>
      </c>
      <c r="E185" t="s">
        <v>8</v>
      </c>
      <c r="F185" s="1">
        <f t="shared" ref="F185:K185" si="102">F183*IFERROR(F78/F74,0)</f>
        <v>0</v>
      </c>
      <c r="G185" s="1">
        <f t="shared" si="102"/>
        <v>0</v>
      </c>
      <c r="H185" s="1">
        <f t="shared" si="102"/>
        <v>0</v>
      </c>
      <c r="I185" s="1">
        <f t="shared" si="102"/>
        <v>0</v>
      </c>
      <c r="J185" s="1">
        <f t="shared" si="102"/>
        <v>0</v>
      </c>
      <c r="K185" s="1">
        <f t="shared" si="102"/>
        <v>0</v>
      </c>
    </row>
    <row r="186" spans="1:11" x14ac:dyDescent="0.3">
      <c r="A186" s="5" t="s">
        <v>5</v>
      </c>
      <c r="B186" s="5" t="str">
        <f t="shared" si="97"/>
        <v>SPS3</v>
      </c>
      <c r="C186" s="5" t="s">
        <v>7</v>
      </c>
      <c r="D186" t="s">
        <v>810</v>
      </c>
      <c r="E186" t="s">
        <v>8</v>
      </c>
      <c r="F186" s="1">
        <f>SUM(F187:F188)</f>
        <v>1.8035653931592552</v>
      </c>
      <c r="G186" s="1">
        <f t="shared" ref="G186:K186" si="103">SUM(G187:G188)</f>
        <v>8.4210631321716316E-4</v>
      </c>
      <c r="H186" s="1">
        <f t="shared" si="103"/>
        <v>2.0044572145070924E-2</v>
      </c>
      <c r="I186" s="1">
        <f t="shared" si="103"/>
        <v>2.1780726801066621E-4</v>
      </c>
      <c r="J186" s="1">
        <f t="shared" si="103"/>
        <v>1.8392751323971099E-2</v>
      </c>
      <c r="K186" s="1">
        <f t="shared" si="103"/>
        <v>1.7902042098604784E-2</v>
      </c>
    </row>
    <row r="187" spans="1:11" x14ac:dyDescent="0.3">
      <c r="A187" s="5" t="s">
        <v>5</v>
      </c>
      <c r="B187" s="5" t="str">
        <f t="shared" si="97"/>
        <v>SPS3</v>
      </c>
      <c r="C187" s="5" t="s">
        <v>7</v>
      </c>
      <c r="D187" t="s">
        <v>153</v>
      </c>
      <c r="E187" t="s">
        <v>8</v>
      </c>
      <c r="F187" s="1">
        <f>'[1]Electricity and CHPs'!B$91</f>
        <v>1.8035653931592552</v>
      </c>
      <c r="G187" s="1">
        <f>'[1]Electricity and CHPs'!C$91</f>
        <v>8.4210631321716316E-4</v>
      </c>
      <c r="H187" s="1">
        <f>'[1]Electricity and CHPs'!D$91</f>
        <v>2.0044572145070924E-2</v>
      </c>
      <c r="I187" s="1">
        <f>'[1]Electricity and CHPs'!E$91</f>
        <v>2.1780726801066621E-4</v>
      </c>
      <c r="J187" s="1">
        <f>'[1]Electricity and CHPs'!F$91</f>
        <v>7.0572997492610165E-3</v>
      </c>
      <c r="K187" s="1">
        <f>'[1]Electricity and CHPs'!G$91</f>
        <v>5.3290154968414312E-3</v>
      </c>
    </row>
    <row r="188" spans="1:11" x14ac:dyDescent="0.3">
      <c r="A188" s="5" t="s">
        <v>5</v>
      </c>
      <c r="B188" s="5" t="str">
        <f t="shared" si="97"/>
        <v>SPS3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1.1335451574710081E-2</v>
      </c>
      <c r="K188" s="1">
        <f>'[1]Electricity and CHPs'!G$95</f>
        <v>1.2573026601763354E-2</v>
      </c>
    </row>
    <row r="189" spans="1:11" x14ac:dyDescent="0.3">
      <c r="A189" s="5"/>
      <c r="B189" s="5" t="str">
        <f t="shared" si="97"/>
        <v>SPS3</v>
      </c>
      <c r="C189" s="5" t="str">
        <f>C188</f>
        <v>CH</v>
      </c>
      <c r="D189" t="s">
        <v>811</v>
      </c>
      <c r="E189" t="s">
        <v>8</v>
      </c>
      <c r="F189" s="1">
        <f>SUM(F190:F191)</f>
        <v>1.7568528964248902</v>
      </c>
      <c r="G189" s="1">
        <f t="shared" ref="G189:K189" si="104">SUM(G190:G191)</f>
        <v>8.3097998808136491E-4</v>
      </c>
      <c r="H189" s="1">
        <f t="shared" si="104"/>
        <v>1.7087224616846093E-2</v>
      </c>
      <c r="I189" s="1">
        <f t="shared" si="104"/>
        <v>2.1759964740698221E-4</v>
      </c>
      <c r="J189" s="1">
        <f t="shared" si="104"/>
        <v>1.6329903109515313E-2</v>
      </c>
      <c r="K189" s="1">
        <f t="shared" si="104"/>
        <v>4.3140776418770259E-3</v>
      </c>
    </row>
    <row r="190" spans="1:11" x14ac:dyDescent="0.3">
      <c r="A190" s="5" t="s">
        <v>5</v>
      </c>
      <c r="B190" s="5" t="str">
        <f t="shared" si="97"/>
        <v>SPS3</v>
      </c>
      <c r="C190" s="5" t="s">
        <v>7</v>
      </c>
      <c r="D190" t="s">
        <v>567</v>
      </c>
      <c r="E190" t="s">
        <v>8</v>
      </c>
      <c r="F190" s="1">
        <f>F187-F193</f>
        <v>1.7568528964248902</v>
      </c>
      <c r="G190" s="1">
        <f t="shared" ref="G190:K190" si="105">G187-G193</f>
        <v>8.3097998808136491E-4</v>
      </c>
      <c r="H190" s="1">
        <f t="shared" si="105"/>
        <v>1.7087224616846093E-2</v>
      </c>
      <c r="I190" s="1">
        <f t="shared" si="105"/>
        <v>2.1759964740698221E-4</v>
      </c>
      <c r="J190" s="1">
        <f t="shared" si="105"/>
        <v>6.2657847697881602E-3</v>
      </c>
      <c r="K190" s="1">
        <f t="shared" si="105"/>
        <v>1.2841991143530797E-3</v>
      </c>
    </row>
    <row r="191" spans="1:11" x14ac:dyDescent="0.3">
      <c r="A191" s="5" t="s">
        <v>5</v>
      </c>
      <c r="B191" s="5" t="str">
        <f t="shared" si="97"/>
        <v>SPS3</v>
      </c>
      <c r="C191" s="5" t="s">
        <v>7</v>
      </c>
      <c r="D191" t="s">
        <v>568</v>
      </c>
      <c r="E191" t="s">
        <v>8</v>
      </c>
      <c r="F191" s="1">
        <f t="shared" ref="F191:K191" si="106">F188-F194</f>
        <v>0</v>
      </c>
      <c r="G191" s="1">
        <f t="shared" si="106"/>
        <v>0</v>
      </c>
      <c r="H191" s="1">
        <f t="shared" si="106"/>
        <v>0</v>
      </c>
      <c r="I191" s="1">
        <f t="shared" si="106"/>
        <v>0</v>
      </c>
      <c r="J191" s="1">
        <f t="shared" si="106"/>
        <v>1.0064118339727155E-2</v>
      </c>
      <c r="K191" s="1">
        <f t="shared" si="106"/>
        <v>3.0298785275239461E-3</v>
      </c>
    </row>
    <row r="192" spans="1:11" x14ac:dyDescent="0.3">
      <c r="A192" s="5"/>
      <c r="B192" s="5" t="str">
        <f t="shared" si="97"/>
        <v>SPS3</v>
      </c>
      <c r="C192" s="5" t="s">
        <v>7</v>
      </c>
      <c r="D192" t="s">
        <v>812</v>
      </c>
      <c r="E192" t="s">
        <v>8</v>
      </c>
      <c r="F192" s="1">
        <f>SUM(F193:F194)</f>
        <v>4.6712496734364978E-2</v>
      </c>
      <c r="G192" s="1">
        <f t="shared" ref="G192:K192" si="107">SUM(G193:G194)</f>
        <v>1.1126325135798213E-5</v>
      </c>
      <c r="H192" s="1">
        <f t="shared" si="107"/>
        <v>2.9573475282248314E-3</v>
      </c>
      <c r="I192" s="1">
        <f t="shared" si="107"/>
        <v>2.0762060368401801E-7</v>
      </c>
      <c r="J192" s="1">
        <f t="shared" si="107"/>
        <v>2.0628482144557821E-3</v>
      </c>
      <c r="K192" s="1">
        <f t="shared" si="107"/>
        <v>1.3587964456727759E-2</v>
      </c>
    </row>
    <row r="193" spans="1:11" x14ac:dyDescent="0.3">
      <c r="A193" s="5" t="s">
        <v>5</v>
      </c>
      <c r="B193" s="5" t="str">
        <f t="shared" si="97"/>
        <v>SPS3</v>
      </c>
      <c r="C193" s="5" t="s">
        <v>7</v>
      </c>
      <c r="D193" t="s">
        <v>628</v>
      </c>
      <c r="E193" t="s">
        <v>8</v>
      </c>
      <c r="F193" s="1">
        <f t="shared" ref="F193:K194" si="108">F187*IFERROR(F116/F84,0)</f>
        <v>4.6712496734364978E-2</v>
      </c>
      <c r="G193" s="1">
        <f t="shared" si="108"/>
        <v>1.1126325135798213E-5</v>
      </c>
      <c r="H193" s="1">
        <f t="shared" si="108"/>
        <v>2.9573475282248314E-3</v>
      </c>
      <c r="I193" s="1">
        <f t="shared" si="108"/>
        <v>2.0762060368401801E-7</v>
      </c>
      <c r="J193" s="1">
        <f t="shared" si="108"/>
        <v>7.9151497947285579E-4</v>
      </c>
      <c r="K193" s="1">
        <f t="shared" si="108"/>
        <v>4.0448163824883514E-3</v>
      </c>
    </row>
    <row r="194" spans="1:11" x14ac:dyDescent="0.3">
      <c r="A194" s="5" t="s">
        <v>5</v>
      </c>
      <c r="B194" s="5" t="str">
        <f t="shared" si="97"/>
        <v>SPS3</v>
      </c>
      <c r="C194" s="5" t="s">
        <v>7</v>
      </c>
      <c r="D194" t="s">
        <v>629</v>
      </c>
      <c r="E194" t="s">
        <v>8</v>
      </c>
      <c r="F194" s="1">
        <f t="shared" si="108"/>
        <v>0</v>
      </c>
      <c r="G194" s="1">
        <f t="shared" si="108"/>
        <v>0</v>
      </c>
      <c r="H194" s="1">
        <f t="shared" si="108"/>
        <v>0</v>
      </c>
      <c r="I194" s="1">
        <f t="shared" si="108"/>
        <v>0</v>
      </c>
      <c r="J194" s="1">
        <f t="shared" si="108"/>
        <v>1.2713332349829263E-3</v>
      </c>
      <c r="K194" s="1">
        <f t="shared" si="108"/>
        <v>9.5431480742394076E-3</v>
      </c>
    </row>
    <row r="195" spans="1:11" x14ac:dyDescent="0.3">
      <c r="A195" s="5" t="s">
        <v>5</v>
      </c>
      <c r="B195" s="5" t="str">
        <f t="shared" si="97"/>
        <v>SPS3</v>
      </c>
      <c r="C195" s="5" t="s">
        <v>7</v>
      </c>
      <c r="D195" t="s">
        <v>813</v>
      </c>
      <c r="E195" t="s">
        <v>8</v>
      </c>
      <c r="F195" s="1">
        <f>SUM(F196:F197)</f>
        <v>14.159824818053398</v>
      </c>
      <c r="G195" s="1">
        <f t="shared" ref="G195:K195" si="109">SUM(G196:G197)</f>
        <v>13.051659009400407</v>
      </c>
      <c r="H195" s="1">
        <f t="shared" si="109"/>
        <v>13.178297246973345</v>
      </c>
      <c r="I195" s="1">
        <f t="shared" si="109"/>
        <v>12.920152287764159</v>
      </c>
      <c r="J195" s="1">
        <f t="shared" si="109"/>
        <v>11.055659971577182</v>
      </c>
      <c r="K195" s="1">
        <f t="shared" si="109"/>
        <v>10.757734657284363</v>
      </c>
    </row>
    <row r="196" spans="1:11" x14ac:dyDescent="0.3">
      <c r="A196" s="5" t="s">
        <v>5</v>
      </c>
      <c r="B196" s="5" t="str">
        <f t="shared" si="97"/>
        <v>SPS3</v>
      </c>
      <c r="C196" s="5" t="s">
        <v>7</v>
      </c>
      <c r="D196" t="s">
        <v>155</v>
      </c>
      <c r="E196" t="s">
        <v>8</v>
      </c>
      <c r="F196" s="1">
        <f>'[1]Electricity and CHPs'!B$93-F197</f>
        <v>14.159824818053398</v>
      </c>
      <c r="G196" s="1">
        <f>'[1]Electricity and CHPs'!C$93-G197</f>
        <v>13.051659009400407</v>
      </c>
      <c r="H196" s="1">
        <f>'[1]Electricity and CHPs'!D$93-H197</f>
        <v>13.178297246973345</v>
      </c>
      <c r="I196" s="1">
        <f>'[1]Electricity and CHPs'!E$93-I197</f>
        <v>12.920152287764159</v>
      </c>
      <c r="J196" s="1">
        <f>'[1]Electricity and CHPs'!F$93-J197</f>
        <v>10.460400327562972</v>
      </c>
      <c r="K196" s="1">
        <f>'[1]Electricity and CHPs'!G$93-K197</f>
        <v>4.4515954339749104</v>
      </c>
    </row>
    <row r="197" spans="1:11" x14ac:dyDescent="0.3">
      <c r="A197" s="5" t="s">
        <v>5</v>
      </c>
      <c r="B197" s="5" t="str">
        <f t="shared" si="97"/>
        <v>SPS3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0.59525964401421028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6.3061392233094526</v>
      </c>
    </row>
    <row r="198" spans="1:11" x14ac:dyDescent="0.3">
      <c r="A198" s="5" t="s">
        <v>5</v>
      </c>
      <c r="B198" s="5" t="str">
        <f t="shared" si="97"/>
        <v>SPS3</v>
      </c>
      <c r="C198" s="5" t="s">
        <v>7</v>
      </c>
      <c r="D198" t="s">
        <v>814</v>
      </c>
      <c r="E198" t="s">
        <v>8</v>
      </c>
      <c r="F198" s="1">
        <f>SUM(F199:F200)</f>
        <v>7.0799124090266989</v>
      </c>
      <c r="G198" s="1">
        <f t="shared" ref="G198:K198" si="110">SUM(G199:G200)</f>
        <v>6.5258295047002033</v>
      </c>
      <c r="H198" s="1">
        <f t="shared" si="110"/>
        <v>6.5891486234866727</v>
      </c>
      <c r="I198" s="1">
        <f t="shared" si="110"/>
        <v>6.4600761438820804</v>
      </c>
      <c r="J198" s="1">
        <f t="shared" si="110"/>
        <v>5.5278299857885909</v>
      </c>
      <c r="K198" s="1">
        <f t="shared" si="110"/>
        <v>5.3788673286421824</v>
      </c>
    </row>
    <row r="199" spans="1:11" x14ac:dyDescent="0.3">
      <c r="A199" s="5" t="s">
        <v>5</v>
      </c>
      <c r="B199" s="5" t="str">
        <f t="shared" si="97"/>
        <v>SPS3</v>
      </c>
      <c r="C199" s="5" t="s">
        <v>7</v>
      </c>
      <c r="D199" t="s">
        <v>157</v>
      </c>
      <c r="E199" t="s">
        <v>8</v>
      </c>
      <c r="F199" s="1">
        <f t="shared" ref="F199:K199" si="111">F196*F138/F131</f>
        <v>7.0799124090266989</v>
      </c>
      <c r="G199" s="1">
        <f t="shared" si="111"/>
        <v>6.5258295047002033</v>
      </c>
      <c r="H199" s="1">
        <f t="shared" si="111"/>
        <v>6.5891486234866727</v>
      </c>
      <c r="I199" s="1">
        <f t="shared" si="111"/>
        <v>6.4600761438820804</v>
      </c>
      <c r="J199" s="1">
        <f t="shared" si="111"/>
        <v>5.2302001637814861</v>
      </c>
      <c r="K199" s="1">
        <f t="shared" si="111"/>
        <v>2.2257977169874552</v>
      </c>
    </row>
    <row r="200" spans="1:11" x14ac:dyDescent="0.3">
      <c r="A200" s="5" t="s">
        <v>5</v>
      </c>
      <c r="B200" s="5" t="str">
        <f t="shared" si="97"/>
        <v>SPS3</v>
      </c>
      <c r="C200" s="5" t="s">
        <v>7</v>
      </c>
      <c r="D200" t="s">
        <v>158</v>
      </c>
      <c r="E200" t="s">
        <v>8</v>
      </c>
      <c r="F200" s="1">
        <f t="shared" ref="F200:K200" si="112">F197*IFERROR(F139/F132,0)</f>
        <v>0</v>
      </c>
      <c r="G200" s="1">
        <f t="shared" si="112"/>
        <v>0</v>
      </c>
      <c r="H200" s="1">
        <f t="shared" si="112"/>
        <v>0</v>
      </c>
      <c r="I200" s="1">
        <f t="shared" si="112"/>
        <v>0</v>
      </c>
      <c r="J200" s="1">
        <f t="shared" si="112"/>
        <v>0.29762982200710514</v>
      </c>
      <c r="K200" s="1">
        <f t="shared" si="112"/>
        <v>3.1530696116547272</v>
      </c>
    </row>
    <row r="201" spans="1:11" x14ac:dyDescent="0.3">
      <c r="A201" s="5" t="s">
        <v>5</v>
      </c>
      <c r="B201" s="5" t="str">
        <f t="shared" si="97"/>
        <v>SPS3</v>
      </c>
      <c r="C201" s="5" t="s">
        <v>7</v>
      </c>
      <c r="D201" t="s">
        <v>815</v>
      </c>
      <c r="E201" t="s">
        <v>8</v>
      </c>
      <c r="F201" s="1">
        <f>SUM(F202:F203)</f>
        <v>7.0799124090266989</v>
      </c>
      <c r="G201" s="1">
        <f t="shared" ref="G201:K201" si="113">SUM(G202:G203)</f>
        <v>6.5258295047002033</v>
      </c>
      <c r="H201" s="1">
        <f t="shared" si="113"/>
        <v>6.5891486234866727</v>
      </c>
      <c r="I201" s="1">
        <f t="shared" si="113"/>
        <v>6.4600761438820786</v>
      </c>
      <c r="J201" s="1">
        <f t="shared" si="113"/>
        <v>5.5278299857885909</v>
      </c>
      <c r="K201" s="1">
        <f t="shared" si="113"/>
        <v>5.3788673286421806</v>
      </c>
    </row>
    <row r="202" spans="1:11" x14ac:dyDescent="0.3">
      <c r="A202" s="5" t="s">
        <v>5</v>
      </c>
      <c r="B202" s="5" t="str">
        <f t="shared" si="97"/>
        <v>SPS3</v>
      </c>
      <c r="C202" s="5" t="s">
        <v>7</v>
      </c>
      <c r="D202" t="s">
        <v>159</v>
      </c>
      <c r="E202" t="s">
        <v>8</v>
      </c>
      <c r="F202" s="1">
        <f t="shared" ref="F202:K203" si="114">F196-F199</f>
        <v>7.0799124090266989</v>
      </c>
      <c r="G202" s="1">
        <f t="shared" si="114"/>
        <v>6.5258295047002033</v>
      </c>
      <c r="H202" s="1">
        <f t="shared" si="114"/>
        <v>6.5891486234866727</v>
      </c>
      <c r="I202" s="1">
        <f t="shared" si="114"/>
        <v>6.4600761438820786</v>
      </c>
      <c r="J202" s="1">
        <f t="shared" si="114"/>
        <v>5.2302001637814861</v>
      </c>
      <c r="K202" s="1">
        <f t="shared" si="114"/>
        <v>2.2257977169874552</v>
      </c>
    </row>
    <row r="203" spans="1:11" x14ac:dyDescent="0.3">
      <c r="A203" s="5" t="s">
        <v>5</v>
      </c>
      <c r="B203" s="5" t="str">
        <f t="shared" si="97"/>
        <v>SPS3</v>
      </c>
      <c r="C203" s="5" t="s">
        <v>7</v>
      </c>
      <c r="D203" t="s">
        <v>160</v>
      </c>
      <c r="E203" t="s">
        <v>8</v>
      </c>
      <c r="F203" s="1">
        <f t="shared" si="114"/>
        <v>0</v>
      </c>
      <c r="G203" s="1">
        <f t="shared" si="114"/>
        <v>0</v>
      </c>
      <c r="H203" s="1">
        <f t="shared" si="114"/>
        <v>0</v>
      </c>
      <c r="I203" s="1">
        <f t="shared" si="114"/>
        <v>0</v>
      </c>
      <c r="J203" s="1">
        <f t="shared" si="114"/>
        <v>0.29762982200710514</v>
      </c>
      <c r="K203" s="1">
        <f t="shared" si="114"/>
        <v>3.1530696116547254</v>
      </c>
    </row>
    <row r="204" spans="1:11" x14ac:dyDescent="0.3">
      <c r="A204" s="5" t="s">
        <v>5</v>
      </c>
      <c r="B204" s="5" t="str">
        <f t="shared" si="97"/>
        <v>SPS3</v>
      </c>
      <c r="C204" s="5" t="s">
        <v>7</v>
      </c>
      <c r="D204" t="s">
        <v>816</v>
      </c>
      <c r="E204" t="s">
        <v>8</v>
      </c>
      <c r="F204" s="1">
        <f>F205</f>
        <v>1.3323541656709306</v>
      </c>
      <c r="G204" s="1">
        <f t="shared" ref="G204:K204" si="115">G205</f>
        <v>0.48137126210004921</v>
      </c>
      <c r="H204" s="1">
        <f t="shared" si="115"/>
        <v>1.0413503799608066</v>
      </c>
      <c r="I204" s="1">
        <f t="shared" si="115"/>
        <v>8.2704402534839586E-2</v>
      </c>
      <c r="J204" s="1">
        <f t="shared" si="115"/>
        <v>3.9660031667610873</v>
      </c>
      <c r="K204" s="1">
        <f t="shared" si="115"/>
        <v>4.9299890674087337</v>
      </c>
    </row>
    <row r="205" spans="1:11" x14ac:dyDescent="0.3">
      <c r="A205" s="5" t="s">
        <v>5</v>
      </c>
      <c r="B205" s="5" t="str">
        <f t="shared" si="97"/>
        <v>SPS3</v>
      </c>
      <c r="C205" s="5" t="s">
        <v>7</v>
      </c>
      <c r="D205" t="s">
        <v>161</v>
      </c>
      <c r="E205" t="s">
        <v>8</v>
      </c>
      <c r="F205" s="1">
        <f>'[1]Electricity and CHPs'!B$92</f>
        <v>1.3323541656709306</v>
      </c>
      <c r="G205" s="1">
        <f>'[1]Electricity and CHPs'!C$92</f>
        <v>0.48137126210004921</v>
      </c>
      <c r="H205" s="1">
        <f>'[1]Electricity and CHPs'!D$92</f>
        <v>1.0413503799608066</v>
      </c>
      <c r="I205" s="1">
        <f>'[1]Electricity and CHPs'!E$92</f>
        <v>8.2704402534839586E-2</v>
      </c>
      <c r="J205" s="1">
        <f>'[1]Electricity and CHPs'!F$92</f>
        <v>3.9660031667610873</v>
      </c>
      <c r="K205" s="1">
        <f>'[1]Electricity and CHPs'!G$92</f>
        <v>4.9299890674087337</v>
      </c>
    </row>
    <row r="206" spans="1:11" x14ac:dyDescent="0.3">
      <c r="A206" s="5" t="s">
        <v>5</v>
      </c>
      <c r="B206" s="5" t="str">
        <f t="shared" si="97"/>
        <v>SPS3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16">+G207</f>
        <v>0</v>
      </c>
      <c r="H206" s="1">
        <f t="shared" si="116"/>
        <v>0</v>
      </c>
      <c r="I206" s="1">
        <f t="shared" si="116"/>
        <v>0</v>
      </c>
      <c r="J206" s="1">
        <f t="shared" si="116"/>
        <v>2.9898818196568604E-3</v>
      </c>
      <c r="K206" s="1">
        <f t="shared" si="116"/>
        <v>0.35155601440838546</v>
      </c>
    </row>
    <row r="207" spans="1:11" x14ac:dyDescent="0.3">
      <c r="A207" s="5" t="s">
        <v>5</v>
      </c>
      <c r="B207" s="5" t="str">
        <f t="shared" si="97"/>
        <v>SPS3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2.9898818196568604E-3</v>
      </c>
      <c r="K207" s="1">
        <f>'[1]Electricity and CHPs'!G$96</f>
        <v>0.35155601440838546</v>
      </c>
    </row>
    <row r="208" spans="1:11" x14ac:dyDescent="0.3">
      <c r="A208" s="5" t="s">
        <v>5</v>
      </c>
      <c r="B208" s="5" t="str">
        <f t="shared" si="97"/>
        <v>SPS3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5.7531443080614322</v>
      </c>
      <c r="G208" s="1">
        <f t="shared" ref="G208:K208" si="117">SUM(G209,G215,G217,G223,G225,G227,G229)</f>
        <v>12.012437700638932</v>
      </c>
      <c r="H208" s="1">
        <f t="shared" si="117"/>
        <v>11.898158841944792</v>
      </c>
      <c r="I208" s="1">
        <f t="shared" si="117"/>
        <v>11.780281288207936</v>
      </c>
      <c r="J208" s="1">
        <f t="shared" si="117"/>
        <v>11.523528422740281</v>
      </c>
      <c r="K208" s="1">
        <f t="shared" si="117"/>
        <v>14.169977653901745</v>
      </c>
    </row>
    <row r="209" spans="1:11" x14ac:dyDescent="0.3">
      <c r="A209" s="5" t="s">
        <v>5</v>
      </c>
      <c r="B209" s="5" t="str">
        <f t="shared" si="97"/>
        <v>SPS3</v>
      </c>
      <c r="C209" s="5" t="s">
        <v>7</v>
      </c>
      <c r="D209" t="s">
        <v>819</v>
      </c>
      <c r="E209" t="str">
        <f>E168</f>
        <v>PJ/yr.</v>
      </c>
      <c r="F209" s="1">
        <f>+F210</f>
        <v>2.6347186247587766</v>
      </c>
      <c r="G209" s="1">
        <f t="shared" ref="G209:K209" si="118">+G210</f>
        <v>4.2377298159511856</v>
      </c>
      <c r="H209" s="1">
        <f t="shared" si="118"/>
        <v>4.3833334121141148</v>
      </c>
      <c r="I209" s="1">
        <f t="shared" si="118"/>
        <v>9.1992861004123869E-5</v>
      </c>
      <c r="J209" s="1">
        <f t="shared" si="118"/>
        <v>8.0180651288082369E-2</v>
      </c>
      <c r="K209" s="1">
        <f t="shared" si="118"/>
        <v>1.7977068522240476</v>
      </c>
    </row>
    <row r="210" spans="1:11" x14ac:dyDescent="0.3">
      <c r="A210" s="5" t="s">
        <v>5</v>
      </c>
      <c r="B210" s="5" t="str">
        <f t="shared" si="97"/>
        <v>SPS3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2.6347186247587766</v>
      </c>
      <c r="G210" s="1">
        <f>'[1]Electricity and CHPs'!C$97+G214</f>
        <v>4.2377298159511856</v>
      </c>
      <c r="H210" s="1">
        <f>'[1]Electricity and CHPs'!D$97+H214</f>
        <v>4.3833334121141148</v>
      </c>
      <c r="I210" s="1">
        <f>'[1]Electricity and CHPs'!E$97+I214</f>
        <v>9.1992861004123869E-5</v>
      </c>
      <c r="J210" s="1">
        <f>'[1]Electricity and CHPs'!F$97+J214</f>
        <v>8.0180651288082369E-2</v>
      </c>
      <c r="K210" s="1">
        <f>'[1]Electricity and CHPs'!G$97+K214</f>
        <v>1.7977068522240476</v>
      </c>
    </row>
    <row r="211" spans="1:11" x14ac:dyDescent="0.3">
      <c r="A211" s="5"/>
      <c r="B211" s="5" t="str">
        <f t="shared" si="97"/>
        <v>SPS3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1.7329366798791874</v>
      </c>
      <c r="G211" s="1">
        <f t="shared" ref="G211:K211" si="119">G212</f>
        <v>1.1023460860116394</v>
      </c>
      <c r="H211" s="1">
        <f t="shared" si="119"/>
        <v>1.1175770030504322</v>
      </c>
      <c r="I211" s="1">
        <f t="shared" si="119"/>
        <v>1.7543856143318259E-5</v>
      </c>
      <c r="J211" s="1">
        <f t="shared" si="119"/>
        <v>7.0703595632889971E-4</v>
      </c>
      <c r="K211" s="1">
        <f t="shared" si="119"/>
        <v>7.5755641550867558E-4</v>
      </c>
    </row>
    <row r="212" spans="1:11" x14ac:dyDescent="0.3">
      <c r="A212" s="5" t="s">
        <v>5</v>
      </c>
      <c r="B212" s="5" t="str">
        <f t="shared" si="97"/>
        <v>SPS3</v>
      </c>
      <c r="C212" s="5" t="s">
        <v>7</v>
      </c>
      <c r="D212" t="s">
        <v>820</v>
      </c>
      <c r="E212" t="str">
        <f>E169</f>
        <v>PJ/yr.</v>
      </c>
      <c r="F212" s="1">
        <f>F210-F214</f>
        <v>1.7329366798791874</v>
      </c>
      <c r="G212" s="1">
        <f t="shared" ref="G212:K212" si="120">G210-G214</f>
        <v>1.1023460860116394</v>
      </c>
      <c r="H212" s="1">
        <f t="shared" si="120"/>
        <v>1.1175770030504322</v>
      </c>
      <c r="I212" s="1">
        <f t="shared" si="120"/>
        <v>1.7543856143318259E-5</v>
      </c>
      <c r="J212" s="1">
        <f t="shared" si="120"/>
        <v>7.0703595632889971E-4</v>
      </c>
      <c r="K212" s="1">
        <f t="shared" si="120"/>
        <v>7.5755641550867558E-4</v>
      </c>
    </row>
    <row r="213" spans="1:11" x14ac:dyDescent="0.3">
      <c r="A213" s="5"/>
      <c r="B213" s="5" t="str">
        <f t="shared" si="97"/>
        <v>SPS3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0.90178194487958918</v>
      </c>
      <c r="G213" s="1">
        <f t="shared" ref="G213:K213" si="121">G214</f>
        <v>3.1353837299395462</v>
      </c>
      <c r="H213" s="1">
        <f t="shared" si="121"/>
        <v>3.2657564090636826</v>
      </c>
      <c r="I213" s="1">
        <f t="shared" si="121"/>
        <v>7.4449004860805611E-5</v>
      </c>
      <c r="J213" s="1">
        <f t="shared" si="121"/>
        <v>7.9473615331753469E-2</v>
      </c>
      <c r="K213" s="1">
        <f t="shared" si="121"/>
        <v>1.7969492958085389</v>
      </c>
    </row>
    <row r="214" spans="1:11" x14ac:dyDescent="0.3">
      <c r="A214" s="5" t="s">
        <v>5</v>
      </c>
      <c r="B214" s="5" t="str">
        <f t="shared" si="97"/>
        <v>SPS3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0.90178194487958918</v>
      </c>
      <c r="G214" s="1">
        <f>'[1]Electricity and CHPs'!C$98</f>
        <v>3.1353837299395462</v>
      </c>
      <c r="H214" s="1">
        <f>'[1]Electricity and CHPs'!D$98</f>
        <v>3.2657564090636826</v>
      </c>
      <c r="I214" s="1">
        <f>'[1]Electricity and CHPs'!E$98</f>
        <v>7.4449004860805611E-5</v>
      </c>
      <c r="J214" s="1">
        <f>'[1]Electricity and CHPs'!F$98</f>
        <v>7.9473615331753469E-2</v>
      </c>
      <c r="K214" s="1">
        <f>'[1]Electricity and CHPs'!G$98</f>
        <v>1.7969492958085389</v>
      </c>
    </row>
    <row r="215" spans="1:11" x14ac:dyDescent="0.3">
      <c r="A215" s="5" t="s">
        <v>5</v>
      </c>
      <c r="B215" s="5" t="str">
        <f t="shared" si="97"/>
        <v>SPS3</v>
      </c>
      <c r="C215" s="5" t="s">
        <v>7</v>
      </c>
      <c r="D215" t="s">
        <v>825</v>
      </c>
      <c r="E215" t="str">
        <f>E170</f>
        <v>PJ/yr.</v>
      </c>
      <c r="F215" s="1">
        <f>+F216</f>
        <v>1.4500335445665617</v>
      </c>
      <c r="G215" s="1">
        <f t="shared" ref="G215:K215" si="122">+G216</f>
        <v>3.8009267940464406</v>
      </c>
      <c r="H215" s="1">
        <f t="shared" si="122"/>
        <v>3.7972475666171479</v>
      </c>
      <c r="I215" s="1">
        <f t="shared" si="122"/>
        <v>0.97504718505520127</v>
      </c>
      <c r="J215" s="1">
        <f t="shared" si="122"/>
        <v>0</v>
      </c>
      <c r="K215" s="1">
        <f t="shared" si="122"/>
        <v>0</v>
      </c>
    </row>
    <row r="216" spans="1:11" x14ac:dyDescent="0.3">
      <c r="A216" s="5" t="s">
        <v>5</v>
      </c>
      <c r="B216" s="5" t="str">
        <f t="shared" si="97"/>
        <v>SPS3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1.4500335445665617</v>
      </c>
      <c r="G216" s="1">
        <f>'[1]Electricity and CHPs'!C$99</f>
        <v>3.8009267940464406</v>
      </c>
      <c r="H216" s="1">
        <f>'[1]Electricity and CHPs'!D$99</f>
        <v>3.7972475666171479</v>
      </c>
      <c r="I216" s="1">
        <f>'[1]Electricity and CHPs'!E$99</f>
        <v>0.97504718505520127</v>
      </c>
      <c r="J216" s="1">
        <f>'[1]Electricity and CHPs'!F$99</f>
        <v>0</v>
      </c>
      <c r="K216" s="1">
        <f>'[1]Electricity and CHPs'!G$99</f>
        <v>0</v>
      </c>
    </row>
    <row r="217" spans="1:11" x14ac:dyDescent="0.3">
      <c r="A217" s="5" t="s">
        <v>5</v>
      </c>
      <c r="B217" s="5" t="str">
        <f t="shared" si="97"/>
        <v>SPS3</v>
      </c>
      <c r="C217" s="5" t="s">
        <v>7</v>
      </c>
      <c r="D217" t="s">
        <v>826</v>
      </c>
      <c r="E217" t="str">
        <f>E171</f>
        <v>PJ/yr.</v>
      </c>
      <c r="F217" s="1">
        <f>+F218</f>
        <v>0.18409700225770048</v>
      </c>
      <c r="G217" s="1">
        <f t="shared" ref="G217:K217" si="123">+G218</f>
        <v>0.18581072702836712</v>
      </c>
      <c r="H217" s="1">
        <f t="shared" si="123"/>
        <v>4.6408135699812593E-2</v>
      </c>
      <c r="I217" s="1">
        <f t="shared" si="123"/>
        <v>4.4642391534964791E-2</v>
      </c>
      <c r="J217" s="1">
        <f t="shared" si="123"/>
        <v>3.9726488457919812E-4</v>
      </c>
      <c r="K217" s="1">
        <f t="shared" si="123"/>
        <v>5.8448284503781723E-6</v>
      </c>
    </row>
    <row r="218" spans="1:11" x14ac:dyDescent="0.3">
      <c r="A218" s="5" t="s">
        <v>5</v>
      </c>
      <c r="B218" s="5" t="str">
        <f t="shared" si="97"/>
        <v>SPS3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0.18409700225770048</v>
      </c>
      <c r="G218" s="1">
        <f>'[1]Electricity and CHPs'!C$100</f>
        <v>0.18581072702836712</v>
      </c>
      <c r="H218" s="1">
        <f>'[1]Electricity and CHPs'!D$100</f>
        <v>4.6408135699812593E-2</v>
      </c>
      <c r="I218" s="1">
        <f>'[1]Electricity and CHPs'!E$100</f>
        <v>4.4642391534964791E-2</v>
      </c>
      <c r="J218" s="1">
        <f>'[1]Electricity and CHPs'!F$100</f>
        <v>3.9726488457919812E-4</v>
      </c>
      <c r="K218" s="1">
        <f>'[1]Electricity and CHPs'!G$100</f>
        <v>5.8448284503781723E-6</v>
      </c>
    </row>
    <row r="219" spans="1:11" x14ac:dyDescent="0.3">
      <c r="A219" s="5"/>
      <c r="B219" s="5" t="str">
        <f t="shared" si="97"/>
        <v>SPS3</v>
      </c>
      <c r="C219" s="5" t="s">
        <v>7</v>
      </c>
      <c r="D219" t="s">
        <v>827</v>
      </c>
      <c r="E219" t="str">
        <f>E171</f>
        <v>PJ/yr.</v>
      </c>
      <c r="F219" s="1">
        <f>F220</f>
        <v>0.18409700225770048</v>
      </c>
      <c r="G219" s="1">
        <f t="shared" ref="G219:K219" si="124">G220</f>
        <v>0.18581072702836712</v>
      </c>
      <c r="H219" s="1">
        <f t="shared" si="124"/>
        <v>4.6408135699812593E-2</v>
      </c>
      <c r="I219" s="1">
        <f t="shared" si="124"/>
        <v>4.4642391534964791E-2</v>
      </c>
      <c r="J219" s="1">
        <f t="shared" si="124"/>
        <v>3.9726488457919812E-4</v>
      </c>
      <c r="K219" s="1">
        <f t="shared" si="124"/>
        <v>5.8448284503781723E-6</v>
      </c>
    </row>
    <row r="220" spans="1:11" x14ac:dyDescent="0.3">
      <c r="A220" s="5" t="s">
        <v>5</v>
      </c>
      <c r="B220" s="5" t="str">
        <f t="shared" si="97"/>
        <v>SPS3</v>
      </c>
      <c r="C220" s="5" t="s">
        <v>7</v>
      </c>
      <c r="D220" t="s">
        <v>518</v>
      </c>
      <c r="E220" t="str">
        <f>E172</f>
        <v>PJ/yr.</v>
      </c>
      <c r="F220" s="1">
        <f>F218-F222</f>
        <v>0.18409700225770048</v>
      </c>
      <c r="G220" s="1">
        <f t="shared" ref="G220:K220" si="125">G218-G222</f>
        <v>0.18581072702836712</v>
      </c>
      <c r="H220" s="1">
        <f t="shared" si="125"/>
        <v>4.6408135699812593E-2</v>
      </c>
      <c r="I220" s="1">
        <f t="shared" si="125"/>
        <v>4.4642391534964791E-2</v>
      </c>
      <c r="J220" s="1">
        <f t="shared" si="125"/>
        <v>3.9726488457919812E-4</v>
      </c>
      <c r="K220" s="1">
        <f t="shared" si="125"/>
        <v>5.8448284503781723E-6</v>
      </c>
    </row>
    <row r="221" spans="1:11" x14ac:dyDescent="0.3">
      <c r="A221" s="5"/>
      <c r="B221" s="5" t="str">
        <f t="shared" si="97"/>
        <v>SPS3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26">G222</f>
        <v>0</v>
      </c>
      <c r="H221" s="1">
        <f t="shared" si="126"/>
        <v>0</v>
      </c>
      <c r="I221" s="1">
        <f t="shared" si="126"/>
        <v>0</v>
      </c>
      <c r="J221" s="1">
        <f t="shared" si="126"/>
        <v>0</v>
      </c>
      <c r="K221" s="1">
        <f t="shared" si="126"/>
        <v>0</v>
      </c>
    </row>
    <row r="222" spans="1:11" x14ac:dyDescent="0.3">
      <c r="A222" s="5" t="s">
        <v>5</v>
      </c>
      <c r="B222" s="5" t="str">
        <f t="shared" si="97"/>
        <v>SPS3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3">
      <c r="A223" s="5" t="s">
        <v>5</v>
      </c>
      <c r="B223" s="5" t="str">
        <f t="shared" si="97"/>
        <v>SPS3</v>
      </c>
      <c r="C223" s="5" t="s">
        <v>7</v>
      </c>
      <c r="D223" t="s">
        <v>829</v>
      </c>
      <c r="E223" t="str">
        <f>E172</f>
        <v>PJ/yr.</v>
      </c>
      <c r="F223" s="1">
        <f>+F224</f>
        <v>1.4842951364783934</v>
      </c>
      <c r="G223" s="1">
        <f t="shared" ref="G223:K223" si="127">+G224</f>
        <v>1.3395696485577631</v>
      </c>
      <c r="H223" s="1">
        <f t="shared" si="127"/>
        <v>1.1485149577645011</v>
      </c>
      <c r="I223" s="1">
        <f t="shared" si="127"/>
        <v>0.88869691256860672</v>
      </c>
      <c r="J223" s="1">
        <f t="shared" si="127"/>
        <v>0.53211019329176312</v>
      </c>
      <c r="K223" s="1">
        <f t="shared" si="127"/>
        <v>0.3185981470440663</v>
      </c>
    </row>
    <row r="224" spans="1:11" x14ac:dyDescent="0.3">
      <c r="A224" s="5" t="s">
        <v>5</v>
      </c>
      <c r="B224" s="5" t="str">
        <f t="shared" si="97"/>
        <v>SPS3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1.4842951364783934</v>
      </c>
      <c r="G224" s="1">
        <f>'[1]Electricity and CHPs'!C$101</f>
        <v>1.3395696485577631</v>
      </c>
      <c r="H224" s="1">
        <f>'[1]Electricity and CHPs'!D$101</f>
        <v>1.1485149577645011</v>
      </c>
      <c r="I224" s="1">
        <f>'[1]Electricity and CHPs'!E$101</f>
        <v>0.88869691256860672</v>
      </c>
      <c r="J224" s="1">
        <f>'[1]Electricity and CHPs'!F$101</f>
        <v>0.53211019329176312</v>
      </c>
      <c r="K224" s="1">
        <f>'[1]Electricity and CHPs'!G$101</f>
        <v>0.3185981470440663</v>
      </c>
    </row>
    <row r="225" spans="1:11" x14ac:dyDescent="0.3">
      <c r="A225" s="5" t="s">
        <v>5</v>
      </c>
      <c r="B225" s="5" t="str">
        <f t="shared" si="97"/>
        <v>SPS3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28">+G226</f>
        <v>0</v>
      </c>
      <c r="H225" s="1">
        <f t="shared" si="128"/>
        <v>0</v>
      </c>
      <c r="I225" s="1">
        <f t="shared" si="128"/>
        <v>0</v>
      </c>
      <c r="J225" s="1">
        <f t="shared" si="128"/>
        <v>0</v>
      </c>
      <c r="K225" s="1">
        <f t="shared" si="128"/>
        <v>0</v>
      </c>
    </row>
    <row r="226" spans="1:11" x14ac:dyDescent="0.3">
      <c r="A226" s="5" t="s">
        <v>5</v>
      </c>
      <c r="B226" s="5" t="str">
        <f t="shared" si="97"/>
        <v>SPS3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0</v>
      </c>
      <c r="K226" s="1">
        <f>'[1]Electricity and CHPs'!G$102</f>
        <v>0</v>
      </c>
    </row>
    <row r="227" spans="1:11" x14ac:dyDescent="0.3">
      <c r="A227" s="5" t="s">
        <v>5</v>
      </c>
      <c r="B227" s="5" t="str">
        <f t="shared" si="97"/>
        <v>SPS3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29">+G228</f>
        <v>0</v>
      </c>
      <c r="H227" s="1">
        <f t="shared" si="129"/>
        <v>0</v>
      </c>
      <c r="I227" s="1">
        <f t="shared" si="129"/>
        <v>0</v>
      </c>
      <c r="J227" s="1">
        <f t="shared" si="129"/>
        <v>6.2231849539319921E-3</v>
      </c>
      <c r="K227" s="1">
        <f t="shared" si="129"/>
        <v>8.176977752156183E-3</v>
      </c>
    </row>
    <row r="228" spans="1:11" x14ac:dyDescent="0.3">
      <c r="A228" s="5" t="s">
        <v>5</v>
      </c>
      <c r="B228" s="5" t="str">
        <f t="shared" si="97"/>
        <v>SPS3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6.2231849539319921E-3</v>
      </c>
      <c r="K228" s="1">
        <f>'[1]Electricity and CHPs'!G$90</f>
        <v>8.176977752156183E-3</v>
      </c>
    </row>
    <row r="229" spans="1:11" x14ac:dyDescent="0.3">
      <c r="A229" s="5" t="s">
        <v>5</v>
      </c>
      <c r="B229" s="5" t="str">
        <f t="shared" si="97"/>
        <v>SPS3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30">+G230</f>
        <v>2.448400715055175</v>
      </c>
      <c r="H229" s="1">
        <f t="shared" si="130"/>
        <v>2.5226547697492161</v>
      </c>
      <c r="I229" s="1">
        <f t="shared" si="130"/>
        <v>9.8718028061881586</v>
      </c>
      <c r="J229" s="1">
        <f t="shared" si="130"/>
        <v>10.904617128321924</v>
      </c>
      <c r="K229" s="1">
        <f t="shared" si="130"/>
        <v>12.045489832053024</v>
      </c>
    </row>
    <row r="230" spans="1:11" x14ac:dyDescent="0.3">
      <c r="A230" s="5" t="s">
        <v>5</v>
      </c>
      <c r="B230" s="5" t="str">
        <f t="shared" si="97"/>
        <v>SPS3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2.448400715055175</v>
      </c>
      <c r="H230" s="1">
        <f>'[1]Electricity and CHPs'!D$123</f>
        <v>2.5226547697492161</v>
      </c>
      <c r="I230" s="1">
        <f>'[1]Electricity and CHPs'!E$123</f>
        <v>9.8718028061881586</v>
      </c>
      <c r="J230" s="1">
        <f>'[1]Electricity and CHPs'!F$123</f>
        <v>10.904617128321924</v>
      </c>
      <c r="K230" s="1">
        <f>'[1]Electricity and CHPs'!G$123</f>
        <v>12.045489832053024</v>
      </c>
    </row>
    <row r="231" spans="1:11" x14ac:dyDescent="0.3">
      <c r="A231" s="5" t="s">
        <v>5</v>
      </c>
      <c r="B231" s="5" t="str">
        <f t="shared" si="97"/>
        <v>SPS3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6.8627677189618854</v>
      </c>
      <c r="G231" s="1">
        <f t="shared" ref="G231:K231" si="131">SUM(G232,G238,G271,G280,G286)</f>
        <v>8.1954643015474531</v>
      </c>
      <c r="H231" s="1">
        <f t="shared" si="131"/>
        <v>7.7206706877575995</v>
      </c>
      <c r="I231" s="1">
        <f t="shared" si="131"/>
        <v>8.3406510159573823</v>
      </c>
      <c r="J231" s="1">
        <f t="shared" si="131"/>
        <v>19.725173514329171</v>
      </c>
      <c r="K231" s="1">
        <f t="shared" si="131"/>
        <v>16.409680169438211</v>
      </c>
    </row>
    <row r="232" spans="1:11" x14ac:dyDescent="0.3">
      <c r="A232" s="5" t="s">
        <v>5</v>
      </c>
      <c r="B232" s="5" t="str">
        <f t="shared" si="97"/>
        <v>SPS3</v>
      </c>
      <c r="C232" s="5" t="s">
        <v>7</v>
      </c>
      <c r="D232" t="s">
        <v>835</v>
      </c>
      <c r="E232" t="str">
        <f>E169</f>
        <v>PJ/yr.</v>
      </c>
      <c r="F232" s="1">
        <f>+F233</f>
        <v>0.92954347676770799</v>
      </c>
      <c r="G232" s="1">
        <f t="shared" ref="G232:K232" si="132">+G233</f>
        <v>2.0703244223048678</v>
      </c>
      <c r="H232" s="1">
        <f t="shared" si="132"/>
        <v>7.6450775834111126E-2</v>
      </c>
      <c r="I232" s="1">
        <f t="shared" si="132"/>
        <v>1.1798399353600948E-4</v>
      </c>
      <c r="J232" s="1">
        <f t="shared" si="132"/>
        <v>0.3733603460998865</v>
      </c>
      <c r="K232" s="1">
        <f t="shared" si="132"/>
        <v>0.38024565079237488</v>
      </c>
    </row>
    <row r="233" spans="1:11" x14ac:dyDescent="0.3">
      <c r="A233" s="5" t="s">
        <v>5</v>
      </c>
      <c r="B233" s="5" t="str">
        <f t="shared" si="97"/>
        <v>SPS3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0.92954347676770799</v>
      </c>
      <c r="G233" s="1">
        <f>'[1]Electricity and CHPs'!C$104</f>
        <v>2.0703244223048678</v>
      </c>
      <c r="H233" s="1">
        <f>'[1]Electricity and CHPs'!D$104</f>
        <v>7.6450775834111126E-2</v>
      </c>
      <c r="I233" s="1">
        <f>'[1]Electricity and CHPs'!E$104</f>
        <v>1.1798399353600948E-4</v>
      </c>
      <c r="J233" s="1">
        <f>'[1]Electricity and CHPs'!F$104</f>
        <v>0.3733603460998865</v>
      </c>
      <c r="K233" s="1">
        <f>'[1]Electricity and CHPs'!G$104</f>
        <v>0.38024565079237488</v>
      </c>
    </row>
    <row r="234" spans="1:11" x14ac:dyDescent="0.3">
      <c r="A234" s="5"/>
      <c r="B234" s="5" t="str">
        <f t="shared" si="97"/>
        <v>SPS3</v>
      </c>
      <c r="C234" s="5" t="s">
        <v>7</v>
      </c>
      <c r="D234" t="s">
        <v>836</v>
      </c>
      <c r="E234" t="str">
        <f>E169</f>
        <v>PJ/yr.</v>
      </c>
      <c r="F234" s="1">
        <f>F235</f>
        <v>0.92954347676770799</v>
      </c>
      <c r="G234" s="1">
        <f t="shared" ref="G234:K234" si="133">G235</f>
        <v>2.0703244223048678</v>
      </c>
      <c r="H234" s="1">
        <f t="shared" si="133"/>
        <v>7.6450775834111126E-2</v>
      </c>
      <c r="I234" s="1">
        <f t="shared" si="133"/>
        <v>1.1798399353600948E-4</v>
      </c>
      <c r="J234" s="1">
        <f t="shared" si="133"/>
        <v>0.3733603460998865</v>
      </c>
      <c r="K234" s="1">
        <f t="shared" si="133"/>
        <v>0.38024565079237488</v>
      </c>
    </row>
    <row r="235" spans="1:11" x14ac:dyDescent="0.3">
      <c r="A235" s="5" t="s">
        <v>5</v>
      </c>
      <c r="B235" s="5" t="str">
        <f t="shared" si="97"/>
        <v>SPS3</v>
      </c>
      <c r="C235" s="5" t="s">
        <v>7</v>
      </c>
      <c r="D235" t="s">
        <v>519</v>
      </c>
      <c r="E235" t="str">
        <f>E170</f>
        <v>PJ/yr.</v>
      </c>
      <c r="F235" s="1">
        <f>F233-F237</f>
        <v>0.92954347676770799</v>
      </c>
      <c r="G235" s="1">
        <f t="shared" ref="G235:K235" si="134">G233-G237</f>
        <v>2.0703244223048678</v>
      </c>
      <c r="H235" s="1">
        <f t="shared" si="134"/>
        <v>7.6450775834111126E-2</v>
      </c>
      <c r="I235" s="1">
        <f t="shared" si="134"/>
        <v>1.1798399353600948E-4</v>
      </c>
      <c r="J235" s="1">
        <f t="shared" si="134"/>
        <v>0.3733603460998865</v>
      </c>
      <c r="K235" s="1">
        <f t="shared" si="134"/>
        <v>0.38024565079237488</v>
      </c>
    </row>
    <row r="236" spans="1:11" x14ac:dyDescent="0.3">
      <c r="A236" s="5"/>
      <c r="B236" s="5" t="str">
        <f t="shared" si="97"/>
        <v>SPS3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35">G237</f>
        <v>0</v>
      </c>
      <c r="H236" s="1">
        <f t="shared" si="135"/>
        <v>0</v>
      </c>
      <c r="I236" s="1">
        <f t="shared" si="135"/>
        <v>0</v>
      </c>
      <c r="J236" s="1">
        <f t="shared" si="135"/>
        <v>0</v>
      </c>
      <c r="K236" s="1">
        <f t="shared" si="135"/>
        <v>0</v>
      </c>
    </row>
    <row r="237" spans="1:11" x14ac:dyDescent="0.3">
      <c r="A237" s="5" t="s">
        <v>5</v>
      </c>
      <c r="B237" s="5" t="str">
        <f t="shared" si="97"/>
        <v>SPS3</v>
      </c>
      <c r="C237" s="5" t="s">
        <v>7</v>
      </c>
      <c r="D237" t="s">
        <v>543</v>
      </c>
      <c r="E237" t="str">
        <f>E171</f>
        <v>PJ/yr.</v>
      </c>
      <c r="F237" s="1">
        <f t="shared" ref="F237:K237" si="136">F233*IFERROR(F79/F75,0)</f>
        <v>0</v>
      </c>
      <c r="G237" s="1">
        <f t="shared" si="136"/>
        <v>0</v>
      </c>
      <c r="H237" s="1">
        <f t="shared" si="136"/>
        <v>0</v>
      </c>
      <c r="I237" s="1">
        <f t="shared" si="136"/>
        <v>0</v>
      </c>
      <c r="J237" s="1">
        <f t="shared" si="136"/>
        <v>0</v>
      </c>
      <c r="K237" s="1">
        <f t="shared" si="136"/>
        <v>0</v>
      </c>
    </row>
    <row r="238" spans="1:11" x14ac:dyDescent="0.3">
      <c r="A238" s="5" t="s">
        <v>5</v>
      </c>
      <c r="B238" s="5" t="str">
        <f t="shared" si="97"/>
        <v>SPS3</v>
      </c>
      <c r="C238" s="5" t="s">
        <v>7</v>
      </c>
      <c r="D238" t="s">
        <v>838</v>
      </c>
      <c r="E238" t="str">
        <f>E171</f>
        <v>PJ/yr.</v>
      </c>
      <c r="F238" s="1">
        <f>SUM(F239:F248)</f>
        <v>3.3363575093033546</v>
      </c>
      <c r="G238" s="1">
        <f t="shared" ref="G238:K238" si="137">SUM(G239:G248)</f>
        <v>2.4473235713418022</v>
      </c>
      <c r="H238" s="1">
        <f t="shared" si="137"/>
        <v>1.709558549793059</v>
      </c>
      <c r="I238" s="1">
        <f t="shared" si="137"/>
        <v>1.3508115686536302</v>
      </c>
      <c r="J238" s="1">
        <f t="shared" si="137"/>
        <v>8.5166438415639867</v>
      </c>
      <c r="K238" s="1">
        <f t="shared" si="137"/>
        <v>3.2345034924510121</v>
      </c>
    </row>
    <row r="239" spans="1:11" x14ac:dyDescent="0.3">
      <c r="A239" s="5" t="s">
        <v>5</v>
      </c>
      <c r="B239" s="5" t="str">
        <f t="shared" si="97"/>
        <v>SPS3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0.83097169474404908</v>
      </c>
      <c r="G239" s="1">
        <f>'[1]Electricity and CHPs_IN'!C$39*0.75-G86-G240</f>
        <v>0.10395936526796071</v>
      </c>
      <c r="H239" s="1">
        <f>'[1]Electricity and CHPs_IN'!D$39*0.75-H86-H240</f>
        <v>6.4217613747012486E-2</v>
      </c>
      <c r="I239" s="1">
        <f>'[1]Electricity and CHPs_IN'!E$39*0.75-I86-I240</f>
        <v>2.5204218737960811E-2</v>
      </c>
      <c r="J239" s="1">
        <f>'[1]Electricity and CHPs'!F$103-J240</f>
        <v>3.1524249896719383E-2</v>
      </c>
      <c r="K239" s="1">
        <f>'[1]Electricity and CHPs'!G$103-K240</f>
        <v>4.1232906132956514E-2</v>
      </c>
    </row>
    <row r="240" spans="1:11" x14ac:dyDescent="0.3">
      <c r="A240" s="5" t="s">
        <v>5</v>
      </c>
      <c r="B240" s="5" t="str">
        <f t="shared" si="97"/>
        <v>SPS3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6.8528435693836643E-3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2.3978033319372628E-2</v>
      </c>
    </row>
    <row r="241" spans="1:11" x14ac:dyDescent="0.3">
      <c r="A241" s="5" t="s">
        <v>5</v>
      </c>
      <c r="B241" s="5" t="str">
        <f t="shared" si="97"/>
        <v>SPS3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0</v>
      </c>
      <c r="J241" s="1">
        <f>'[1]Electricity and CHPs'!F$107</f>
        <v>0.12220525744866539</v>
      </c>
      <c r="K241" s="1">
        <f>'[1]Electricity and CHPs'!G$107</f>
        <v>3.3330888000984271E-2</v>
      </c>
    </row>
    <row r="242" spans="1:11" x14ac:dyDescent="0.3">
      <c r="A242" s="5" t="s">
        <v>5</v>
      </c>
      <c r="B242" s="5" t="str">
        <f t="shared" si="97"/>
        <v>SPS3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0.14489342260627763</v>
      </c>
      <c r="G242" s="1">
        <f>'[1]Electricity and CHPs'!C$109</f>
        <v>7.2292286625298928E-3</v>
      </c>
      <c r="H242" s="1">
        <f>'[1]Electricity and CHPs'!D$109</f>
        <v>3.8192470743550797E-2</v>
      </c>
      <c r="I242" s="1">
        <f>'[1]Electricity and CHPs'!E$109</f>
        <v>8.2072203356401265E-4</v>
      </c>
      <c r="J242" s="1">
        <f>'[1]Electricity and CHPs'!F$109</f>
        <v>0.14911501169520838</v>
      </c>
      <c r="K242" s="1">
        <f>'[1]Electricity and CHPs'!G$109</f>
        <v>7.8174534176977908E-2</v>
      </c>
    </row>
    <row r="243" spans="1:11" x14ac:dyDescent="0.3">
      <c r="A243" s="5" t="s">
        <v>5</v>
      </c>
      <c r="B243" s="5" t="str">
        <f t="shared" si="97"/>
        <v>SPS3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3">
      <c r="A244" s="5" t="s">
        <v>5</v>
      </c>
      <c r="B244" s="5" t="str">
        <f t="shared" ref="B244:B307" si="138">B243</f>
        <v>SPS3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0.2435426779444218</v>
      </c>
      <c r="G244" s="1">
        <f>'[1]Electricity and CHPs'!C$112</f>
        <v>7.4625434418985181E-3</v>
      </c>
      <c r="H244" s="1">
        <f>'[1]Electricity and CHPs'!D$112</f>
        <v>9.2504418041182049E-2</v>
      </c>
      <c r="I244" s="1">
        <f>'[1]Electricity and CHPs'!E$112</f>
        <v>8.1626845479595761E-4</v>
      </c>
      <c r="J244" s="1">
        <f>'[1]Electricity and CHPs'!F$112</f>
        <v>2.1258627221386801</v>
      </c>
      <c r="K244" s="1">
        <f>'[1]Electricity and CHPs'!G$112</f>
        <v>1.3772197426278212</v>
      </c>
    </row>
    <row r="245" spans="1:11" x14ac:dyDescent="0.3">
      <c r="A245" s="5" t="s">
        <v>5</v>
      </c>
      <c r="B245" s="5" t="str">
        <f t="shared" si="138"/>
        <v>SPS3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3">
      <c r="A246" s="5" t="s">
        <v>5</v>
      </c>
      <c r="B246" s="5" t="str">
        <f t="shared" si="138"/>
        <v>SPS3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1.4243266744270981</v>
      </c>
      <c r="G246" s="1">
        <f>'[1]Electricity and CHPs'!C$115</f>
        <v>1.5783656540041517</v>
      </c>
      <c r="H246" s="1">
        <f>'[1]Electricity and CHPs'!D$115</f>
        <v>1.4829581678784831</v>
      </c>
      <c r="I246" s="1">
        <f>'[1]Electricity and CHPs'!E$115</f>
        <v>1.3239489760408005</v>
      </c>
      <c r="J246" s="1">
        <f>'[1]Electricity and CHPs'!F$115</f>
        <v>1.666178244163002</v>
      </c>
      <c r="K246" s="1">
        <f>'[1]Electricity and CHPs'!G$115</f>
        <v>1.6662144174982436</v>
      </c>
    </row>
    <row r="247" spans="1:11" x14ac:dyDescent="0.3">
      <c r="A247" s="5" t="s">
        <v>5</v>
      </c>
      <c r="B247" s="5" t="str">
        <f t="shared" si="138"/>
        <v>SPS3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0.69262303958150817</v>
      </c>
      <c r="G247" s="1">
        <f>'[1]Electricity and CHPs'!C$116</f>
        <v>0.75030677996526129</v>
      </c>
      <c r="H247" s="1">
        <f>'[1]Electricity and CHPs'!D$116</f>
        <v>3.168587938283051E-2</v>
      </c>
      <c r="I247" s="1">
        <f>'[1]Electricity and CHPs'!E$116</f>
        <v>1.1224962086698143E-5</v>
      </c>
      <c r="J247" s="1">
        <f>'[1]Electricity and CHPs'!F$116</f>
        <v>4.3903849615281878</v>
      </c>
      <c r="K247" s="1">
        <f>'[1]Electricity and CHPs'!G$116</f>
        <v>4.3802377611356341E-3</v>
      </c>
    </row>
    <row r="248" spans="1:11" x14ac:dyDescent="0.3">
      <c r="A248" s="5" t="s">
        <v>5</v>
      </c>
      <c r="B248" s="5" t="str">
        <f t="shared" si="138"/>
        <v>SPS3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1.0158424422019194E-5</v>
      </c>
      <c r="J248" s="1">
        <f>'[1]Electricity and CHPs'!F$118</f>
        <v>2.4520551124141421E-2</v>
      </c>
      <c r="K248" s="1">
        <f>'[1]Electricity and CHPs'!G$118</f>
        <v>9.9727329335205298E-3</v>
      </c>
    </row>
    <row r="249" spans="1:11" x14ac:dyDescent="0.3">
      <c r="A249" s="5" t="s">
        <v>5</v>
      </c>
      <c r="B249" s="5" t="str">
        <f t="shared" si="138"/>
        <v>SPS3</v>
      </c>
      <c r="C249" s="5" t="s">
        <v>7</v>
      </c>
      <c r="D249" t="s">
        <v>839</v>
      </c>
      <c r="E249" t="str">
        <f>E172</f>
        <v>PJ/yr.</v>
      </c>
      <c r="F249" s="1">
        <f>SUM(F250:F259)</f>
        <v>1.862509073996985</v>
      </c>
      <c r="G249" s="1">
        <f t="shared" ref="G249:K249" si="139">SUM(G250:G259)</f>
        <v>0.8574768155267779</v>
      </c>
      <c r="H249" s="1">
        <f t="shared" si="139"/>
        <v>0.19316808540558481</v>
      </c>
      <c r="I249" s="1">
        <f t="shared" si="139"/>
        <v>2.6836986361276311E-2</v>
      </c>
      <c r="J249" s="1">
        <f t="shared" si="139"/>
        <v>6.0821482055721745</v>
      </c>
      <c r="K249" s="1">
        <f t="shared" si="139"/>
        <v>0.37793011529008969</v>
      </c>
    </row>
    <row r="250" spans="1:11" x14ac:dyDescent="0.3">
      <c r="A250" s="5" t="s">
        <v>5</v>
      </c>
      <c r="B250" s="5" t="str">
        <f t="shared" si="138"/>
        <v>SPS3</v>
      </c>
      <c r="C250" s="5" t="s">
        <v>7</v>
      </c>
      <c r="D250" t="s">
        <v>569</v>
      </c>
      <c r="E250" t="str">
        <f>E172</f>
        <v>PJ/yr.</v>
      </c>
      <c r="F250" s="1">
        <f t="shared" ref="F250:K252" si="140">F239-F261</f>
        <v>0.80944945733346818</v>
      </c>
      <c r="G250" s="1">
        <f t="shared" si="140"/>
        <v>0.10258580271329518</v>
      </c>
      <c r="H250" s="1">
        <f t="shared" si="140"/>
        <v>5.4743038789326237E-2</v>
      </c>
      <c r="I250" s="1">
        <f t="shared" si="140"/>
        <v>2.5180193299519045E-2</v>
      </c>
      <c r="J250" s="1">
        <f t="shared" si="140"/>
        <v>2.7988631898842535E-2</v>
      </c>
      <c r="K250" s="1">
        <f t="shared" si="140"/>
        <v>9.936405996479318E-3</v>
      </c>
    </row>
    <row r="251" spans="1:11" x14ac:dyDescent="0.3">
      <c r="A251" s="5" t="s">
        <v>5</v>
      </c>
      <c r="B251" s="5" t="str">
        <f t="shared" si="138"/>
        <v>SPS3</v>
      </c>
      <c r="C251" s="5" t="s">
        <v>7</v>
      </c>
      <c r="D251" t="s">
        <v>570</v>
      </c>
      <c r="E251" t="str">
        <f>E173</f>
        <v>PJ/yr.</v>
      </c>
      <c r="F251" s="1">
        <f t="shared" si="140"/>
        <v>0</v>
      </c>
      <c r="G251" s="1">
        <f t="shared" si="140"/>
        <v>0</v>
      </c>
      <c r="H251" s="1">
        <f t="shared" si="140"/>
        <v>0</v>
      </c>
      <c r="I251" s="1">
        <f t="shared" si="140"/>
        <v>0</v>
      </c>
      <c r="J251" s="1">
        <f t="shared" si="140"/>
        <v>6.0842594749190111E-3</v>
      </c>
      <c r="K251" s="1">
        <f t="shared" si="140"/>
        <v>5.7782847827930091E-3</v>
      </c>
    </row>
    <row r="252" spans="1:11" x14ac:dyDescent="0.3">
      <c r="A252" s="5" t="s">
        <v>5</v>
      </c>
      <c r="B252" s="5" t="str">
        <f t="shared" si="138"/>
        <v>SPS3</v>
      </c>
      <c r="C252" s="5" t="s">
        <v>7</v>
      </c>
      <c r="D252" t="s">
        <v>571</v>
      </c>
      <c r="E252" t="str">
        <f>E174</f>
        <v>PJ/yr.</v>
      </c>
      <c r="F252" s="1">
        <f t="shared" si="140"/>
        <v>0</v>
      </c>
      <c r="G252" s="1">
        <f t="shared" si="140"/>
        <v>0</v>
      </c>
      <c r="H252" s="1">
        <f t="shared" si="140"/>
        <v>0</v>
      </c>
      <c r="I252" s="1">
        <f t="shared" si="140"/>
        <v>0</v>
      </c>
      <c r="J252" s="1">
        <f t="shared" si="140"/>
        <v>0.10849926574113108</v>
      </c>
      <c r="K252" s="1">
        <f t="shared" si="140"/>
        <v>8.0321584496865876E-3</v>
      </c>
    </row>
    <row r="253" spans="1:11" x14ac:dyDescent="0.3">
      <c r="A253" s="5" t="s">
        <v>5</v>
      </c>
      <c r="B253" s="5" t="str">
        <f t="shared" si="138"/>
        <v>SPS3</v>
      </c>
      <c r="C253" s="5" t="s">
        <v>7</v>
      </c>
      <c r="D253" t="s">
        <v>572</v>
      </c>
      <c r="E253" t="str">
        <f>E197</f>
        <v>PJ/yr.</v>
      </c>
      <c r="F253" s="1">
        <f>F242-F264</f>
        <v>0.14114067066504038</v>
      </c>
      <c r="G253" s="1">
        <f t="shared" ref="G253:K253" si="141">G242-G264</f>
        <v>7.1337125176941553E-3</v>
      </c>
      <c r="H253" s="1">
        <f t="shared" si="141"/>
        <v>3.2557608191594867E-2</v>
      </c>
      <c r="I253" s="1">
        <f t="shared" si="141"/>
        <v>8.1993969601567619E-4</v>
      </c>
      <c r="J253" s="1">
        <f t="shared" si="141"/>
        <v>0.13239094305501972</v>
      </c>
      <c r="K253" s="1">
        <f t="shared" si="141"/>
        <v>1.883868936289318E-2</v>
      </c>
    </row>
    <row r="254" spans="1:11" x14ac:dyDescent="0.3">
      <c r="A254" s="5" t="s">
        <v>5</v>
      </c>
      <c r="B254" s="5" t="str">
        <f t="shared" si="138"/>
        <v>SPS3</v>
      </c>
      <c r="C254" s="5" t="s">
        <v>7</v>
      </c>
      <c r="D254" t="s">
        <v>573</v>
      </c>
      <c r="E254" t="str">
        <f>E199</f>
        <v>PJ/yr.</v>
      </c>
      <c r="F254" s="1">
        <f t="shared" ref="F254:K254" si="142">F243-F265</f>
        <v>0</v>
      </c>
      <c r="G254" s="1">
        <f t="shared" si="142"/>
        <v>0</v>
      </c>
      <c r="H254" s="1">
        <f t="shared" si="142"/>
        <v>0</v>
      </c>
      <c r="I254" s="1">
        <f t="shared" si="142"/>
        <v>0</v>
      </c>
      <c r="J254" s="1">
        <f t="shared" si="142"/>
        <v>0</v>
      </c>
      <c r="K254" s="1">
        <f t="shared" si="142"/>
        <v>0</v>
      </c>
    </row>
    <row r="255" spans="1:11" x14ac:dyDescent="0.3">
      <c r="A255" s="5" t="s">
        <v>5</v>
      </c>
      <c r="B255" s="5" t="str">
        <f t="shared" si="138"/>
        <v>SPS3</v>
      </c>
      <c r="C255" s="5" t="s">
        <v>7</v>
      </c>
      <c r="D255" t="s">
        <v>574</v>
      </c>
      <c r="E255" t="str">
        <f>E201</f>
        <v>PJ/yr.</v>
      </c>
      <c r="F255" s="1">
        <f t="shared" ref="F255:K255" si="143">F244-F266</f>
        <v>0.23723490191849717</v>
      </c>
      <c r="G255" s="1">
        <f t="shared" si="143"/>
        <v>7.3639446267947896E-3</v>
      </c>
      <c r="H255" s="1">
        <f t="shared" si="143"/>
        <v>7.8856448403115315E-2</v>
      </c>
      <c r="I255" s="1">
        <f t="shared" si="143"/>
        <v>8.1549036253622336E-4</v>
      </c>
      <c r="J255" s="1">
        <f t="shared" si="143"/>
        <v>1.8874355263756122</v>
      </c>
      <c r="K255" s="1">
        <f t="shared" si="143"/>
        <v>0.33188576291446492</v>
      </c>
    </row>
    <row r="256" spans="1:11" x14ac:dyDescent="0.3">
      <c r="A256" s="5" t="s">
        <v>5</v>
      </c>
      <c r="B256" s="5" t="str">
        <f t="shared" si="138"/>
        <v>SPS3</v>
      </c>
      <c r="C256" s="5" t="s">
        <v>7</v>
      </c>
      <c r="D256" t="s">
        <v>575</v>
      </c>
      <c r="E256" t="str">
        <f>E202</f>
        <v>PJ/yr.</v>
      </c>
      <c r="F256" s="1">
        <f t="shared" ref="F256:K257" si="144">F245-F267</f>
        <v>0</v>
      </c>
      <c r="G256" s="1">
        <f t="shared" si="144"/>
        <v>0</v>
      </c>
      <c r="H256" s="1">
        <f t="shared" si="144"/>
        <v>0</v>
      </c>
      <c r="I256" s="1">
        <f t="shared" si="144"/>
        <v>0</v>
      </c>
      <c r="J256" s="1">
        <f t="shared" si="144"/>
        <v>0</v>
      </c>
      <c r="K256" s="1">
        <f t="shared" si="144"/>
        <v>0</v>
      </c>
    </row>
    <row r="257" spans="1:18" x14ac:dyDescent="0.3">
      <c r="A257" s="5" t="s">
        <v>5</v>
      </c>
      <c r="B257" s="5" t="str">
        <f t="shared" si="138"/>
        <v>SPS3</v>
      </c>
      <c r="C257" s="5" t="s">
        <v>7</v>
      </c>
      <c r="D257" t="s">
        <v>576</v>
      </c>
      <c r="E257" t="str">
        <f>E239</f>
        <v>PJ/yr.</v>
      </c>
      <c r="F257" s="1">
        <f t="shared" si="144"/>
        <v>0</v>
      </c>
      <c r="G257" s="1">
        <f t="shared" ref="G257:K257" si="145">G246-G268</f>
        <v>0</v>
      </c>
      <c r="H257" s="1">
        <f t="shared" si="145"/>
        <v>0</v>
      </c>
      <c r="I257" s="1">
        <f t="shared" si="145"/>
        <v>0</v>
      </c>
      <c r="J257" s="1">
        <f t="shared" si="145"/>
        <v>0</v>
      </c>
      <c r="K257" s="1">
        <f t="shared" si="145"/>
        <v>0</v>
      </c>
    </row>
    <row r="258" spans="1:18" x14ac:dyDescent="0.3">
      <c r="A258" s="5" t="s">
        <v>5</v>
      </c>
      <c r="B258" s="5" t="str">
        <f t="shared" si="138"/>
        <v>SPS3</v>
      </c>
      <c r="C258" s="5" t="s">
        <v>7</v>
      </c>
      <c r="D258" t="s">
        <v>577</v>
      </c>
      <c r="E258" t="str">
        <f>E241</f>
        <v>PJ/yr.</v>
      </c>
      <c r="F258" s="1">
        <f t="shared" ref="F258:K258" si="146">F247-F269</f>
        <v>0.67468404407997928</v>
      </c>
      <c r="G258" s="1">
        <f t="shared" si="146"/>
        <v>0.74039335566899378</v>
      </c>
      <c r="H258" s="1">
        <f t="shared" si="146"/>
        <v>2.7010990021548394E-2</v>
      </c>
      <c r="I258" s="1">
        <f t="shared" si="146"/>
        <v>1.1214262106729356E-5</v>
      </c>
      <c r="J258" s="1">
        <f t="shared" si="146"/>
        <v>3.8979791425652341</v>
      </c>
      <c r="K258" s="1">
        <f t="shared" si="146"/>
        <v>1.055560348218233E-3</v>
      </c>
    </row>
    <row r="259" spans="1:18" x14ac:dyDescent="0.3">
      <c r="A259" s="5" t="s">
        <v>5</v>
      </c>
      <c r="B259" s="5" t="str">
        <f t="shared" si="138"/>
        <v>SPS3</v>
      </c>
      <c r="C259" s="5" t="s">
        <v>7</v>
      </c>
      <c r="D259" t="s">
        <v>578</v>
      </c>
      <c r="E259" t="str">
        <f>E243</f>
        <v>PJ/yr.</v>
      </c>
      <c r="F259" s="1">
        <f t="shared" ref="F259:K259" si="147">F248-F270</f>
        <v>0</v>
      </c>
      <c r="G259" s="1">
        <f t="shared" si="147"/>
        <v>0</v>
      </c>
      <c r="H259" s="1">
        <f t="shared" si="147"/>
        <v>0</v>
      </c>
      <c r="I259" s="1">
        <f t="shared" si="147"/>
        <v>1.0148741098637741E-5</v>
      </c>
      <c r="J259" s="1">
        <f t="shared" si="147"/>
        <v>2.1770436461416461E-2</v>
      </c>
      <c r="K259" s="1">
        <f t="shared" si="147"/>
        <v>2.4032534355544087E-3</v>
      </c>
    </row>
    <row r="260" spans="1:18" x14ac:dyDescent="0.3">
      <c r="A260" s="5" t="s">
        <v>5</v>
      </c>
      <c r="B260" s="5" t="str">
        <f t="shared" si="138"/>
        <v>SPS3</v>
      </c>
      <c r="C260" s="5" t="s">
        <v>7</v>
      </c>
      <c r="D260" t="s">
        <v>840</v>
      </c>
      <c r="E260" t="str">
        <f>E173</f>
        <v>PJ/yr.</v>
      </c>
      <c r="F260" s="1">
        <f>SUM(F261:F270)</f>
        <v>1.4738484353063699</v>
      </c>
      <c r="G260" s="1">
        <f t="shared" ref="G260:K260" si="148">SUM(G261:G270)</f>
        <v>1.5898467558150242</v>
      </c>
      <c r="H260" s="1">
        <f t="shared" si="148"/>
        <v>1.5163904643874742</v>
      </c>
      <c r="I260" s="1">
        <f t="shared" si="148"/>
        <v>1.3239745822923539</v>
      </c>
      <c r="J260" s="1">
        <f t="shared" si="148"/>
        <v>2.4344956359918131</v>
      </c>
      <c r="K260" s="1">
        <f t="shared" si="148"/>
        <v>2.8565733771609225</v>
      </c>
      <c r="M260" s="1"/>
      <c r="N260" s="1"/>
      <c r="O260" s="1"/>
      <c r="P260" s="1"/>
      <c r="Q260" s="1"/>
      <c r="R260" s="1"/>
    </row>
    <row r="261" spans="1:18" x14ac:dyDescent="0.3">
      <c r="A261" s="5" t="s">
        <v>5</v>
      </c>
      <c r="B261" s="5" t="str">
        <f t="shared" si="138"/>
        <v>SPS3</v>
      </c>
      <c r="C261" s="5" t="s">
        <v>7</v>
      </c>
      <c r="D261" t="s">
        <v>630</v>
      </c>
      <c r="E261" t="str">
        <f>E175</f>
        <v>PJ/yr.</v>
      </c>
      <c r="F261" s="1">
        <f t="shared" ref="F261:K270" si="149">F239*IFERROR(F118/F86,0)</f>
        <v>2.1522237410580874E-2</v>
      </c>
      <c r="G261" s="1">
        <f t="shared" si="149"/>
        <v>1.3735625546655317E-3</v>
      </c>
      <c r="H261" s="1">
        <f t="shared" si="149"/>
        <v>9.474574957686251E-3</v>
      </c>
      <c r="I261" s="1">
        <f t="shared" si="149"/>
        <v>2.4025438441765872E-5</v>
      </c>
      <c r="J261" s="1">
        <f t="shared" si="149"/>
        <v>3.5356179978768484E-3</v>
      </c>
      <c r="K261" s="1">
        <f t="shared" si="149"/>
        <v>3.1296500136477196E-2</v>
      </c>
    </row>
    <row r="262" spans="1:18" x14ac:dyDescent="0.3">
      <c r="A262" s="5" t="s">
        <v>5</v>
      </c>
      <c r="B262" s="5" t="str">
        <f t="shared" si="138"/>
        <v>SPS3</v>
      </c>
      <c r="C262" s="5" t="s">
        <v>7</v>
      </c>
      <c r="D262" t="s">
        <v>631</v>
      </c>
      <c r="E262" t="str">
        <f>E176</f>
        <v>PJ/yr.</v>
      </c>
      <c r="F262" s="1">
        <f t="shared" si="149"/>
        <v>0</v>
      </c>
      <c r="G262" s="1">
        <f t="shared" si="149"/>
        <v>0</v>
      </c>
      <c r="H262" s="1">
        <f t="shared" si="149"/>
        <v>0</v>
      </c>
      <c r="I262" s="1">
        <f t="shared" si="149"/>
        <v>0</v>
      </c>
      <c r="J262" s="1">
        <f t="shared" si="149"/>
        <v>7.6858409446465322E-4</v>
      </c>
      <c r="K262" s="1">
        <f t="shared" si="149"/>
        <v>1.8199748536579619E-2</v>
      </c>
    </row>
    <row r="263" spans="1:18" x14ac:dyDescent="0.3">
      <c r="A263" s="5" t="s">
        <v>5</v>
      </c>
      <c r="B263" s="5" t="str">
        <f t="shared" si="138"/>
        <v>SPS3</v>
      </c>
      <c r="C263" s="5" t="s">
        <v>7</v>
      </c>
      <c r="D263" t="s">
        <v>632</v>
      </c>
      <c r="E263" t="str">
        <f>E177</f>
        <v>PJ/yr.</v>
      </c>
      <c r="F263" s="1">
        <f t="shared" si="149"/>
        <v>0</v>
      </c>
      <c r="G263" s="1">
        <f t="shared" si="149"/>
        <v>0</v>
      </c>
      <c r="H263" s="1">
        <f t="shared" si="149"/>
        <v>0</v>
      </c>
      <c r="I263" s="1">
        <f t="shared" si="149"/>
        <v>0</v>
      </c>
      <c r="J263" s="1">
        <f t="shared" si="149"/>
        <v>1.370599170753431E-2</v>
      </c>
      <c r="K263" s="1">
        <f t="shared" si="149"/>
        <v>2.5298729551297684E-2</v>
      </c>
    </row>
    <row r="264" spans="1:18" x14ac:dyDescent="0.3">
      <c r="A264" s="5" t="s">
        <v>5</v>
      </c>
      <c r="B264" s="5" t="str">
        <f t="shared" si="138"/>
        <v>SPS3</v>
      </c>
      <c r="C264" s="5" t="s">
        <v>7</v>
      </c>
      <c r="D264" t="s">
        <v>633</v>
      </c>
      <c r="E264" t="str">
        <f>E203</f>
        <v>PJ/yr.</v>
      </c>
      <c r="F264" s="1">
        <f t="shared" si="149"/>
        <v>3.7527519412372443E-3</v>
      </c>
      <c r="G264" s="1">
        <f t="shared" si="149"/>
        <v>9.551614483573722E-5</v>
      </c>
      <c r="H264" s="1">
        <f t="shared" si="149"/>
        <v>5.6348625519559324E-3</v>
      </c>
      <c r="I264" s="1">
        <f t="shared" si="149"/>
        <v>7.8233754833649819E-7</v>
      </c>
      <c r="J264" s="1">
        <f t="shared" si="149"/>
        <v>1.6724068640188668E-2</v>
      </c>
      <c r="K264" s="1">
        <f t="shared" si="149"/>
        <v>5.9335844814084729E-2</v>
      </c>
    </row>
    <row r="265" spans="1:18" x14ac:dyDescent="0.3">
      <c r="A265" s="5" t="s">
        <v>5</v>
      </c>
      <c r="B265" s="5" t="str">
        <f t="shared" si="138"/>
        <v>SPS3</v>
      </c>
      <c r="C265" s="5" t="s">
        <v>7</v>
      </c>
      <c r="D265" t="s">
        <v>634</v>
      </c>
      <c r="E265" t="str">
        <f>E205</f>
        <v>PJ/yr.</v>
      </c>
      <c r="F265" s="1">
        <f t="shared" si="149"/>
        <v>0</v>
      </c>
      <c r="G265" s="1">
        <f t="shared" si="149"/>
        <v>0</v>
      </c>
      <c r="H265" s="1">
        <f t="shared" si="149"/>
        <v>0</v>
      </c>
      <c r="I265" s="1">
        <f t="shared" si="149"/>
        <v>0</v>
      </c>
      <c r="J265" s="1">
        <f t="shared" si="149"/>
        <v>0</v>
      </c>
      <c r="K265" s="1">
        <f t="shared" si="149"/>
        <v>0</v>
      </c>
    </row>
    <row r="266" spans="1:18" x14ac:dyDescent="0.3">
      <c r="A266" s="5" t="s">
        <v>5</v>
      </c>
      <c r="B266" s="5" t="str">
        <f t="shared" si="138"/>
        <v>SPS3</v>
      </c>
      <c r="C266" s="5" t="s">
        <v>7</v>
      </c>
      <c r="D266" t="s">
        <v>635</v>
      </c>
      <c r="E266" t="str">
        <f>E207</f>
        <v>PJ/yr.</v>
      </c>
      <c r="F266" s="1">
        <f t="shared" si="149"/>
        <v>6.3077760259246437E-3</v>
      </c>
      <c r="G266" s="1">
        <f t="shared" si="149"/>
        <v>9.8598815103728552E-5</v>
      </c>
      <c r="H266" s="1">
        <f t="shared" si="149"/>
        <v>1.3647969638066739E-2</v>
      </c>
      <c r="I266" s="1">
        <f t="shared" si="149"/>
        <v>7.780922597342252E-7</v>
      </c>
      <c r="J266" s="1">
        <f t="shared" si="149"/>
        <v>0.23842719576306795</v>
      </c>
      <c r="K266" s="1">
        <f t="shared" si="149"/>
        <v>1.0453339797133563</v>
      </c>
    </row>
    <row r="267" spans="1:18" x14ac:dyDescent="0.3">
      <c r="A267" s="5" t="s">
        <v>5</v>
      </c>
      <c r="B267" s="5" t="str">
        <f t="shared" si="138"/>
        <v>SPS3</v>
      </c>
      <c r="C267" s="5" t="s">
        <v>7</v>
      </c>
      <c r="D267" t="s">
        <v>636</v>
      </c>
      <c r="E267" t="str">
        <f>E208</f>
        <v>PJ/yr.</v>
      </c>
      <c r="F267" s="1">
        <f t="shared" si="149"/>
        <v>0</v>
      </c>
      <c r="G267" s="1">
        <f t="shared" si="149"/>
        <v>0</v>
      </c>
      <c r="H267" s="1">
        <f t="shared" si="149"/>
        <v>0</v>
      </c>
      <c r="I267" s="1">
        <f t="shared" si="149"/>
        <v>0</v>
      </c>
      <c r="J267" s="1">
        <f t="shared" si="149"/>
        <v>0</v>
      </c>
      <c r="K267" s="1">
        <f t="shared" si="149"/>
        <v>0</v>
      </c>
    </row>
    <row r="268" spans="1:18" x14ac:dyDescent="0.3">
      <c r="A268" s="5" t="s">
        <v>5</v>
      </c>
      <c r="B268" s="5" t="str">
        <f t="shared" si="138"/>
        <v>SPS3</v>
      </c>
      <c r="C268" s="5" t="s">
        <v>7</v>
      </c>
      <c r="D268" t="s">
        <v>637</v>
      </c>
      <c r="E268" t="str">
        <f>E231</f>
        <v>PJ/yr.</v>
      </c>
      <c r="F268" s="1">
        <f t="shared" si="149"/>
        <v>1.4243266744270981</v>
      </c>
      <c r="G268" s="1">
        <f t="shared" si="149"/>
        <v>1.5783656540041517</v>
      </c>
      <c r="H268" s="1">
        <f t="shared" si="149"/>
        <v>1.4829581678784831</v>
      </c>
      <c r="I268" s="1">
        <f t="shared" si="149"/>
        <v>1.3239489760408005</v>
      </c>
      <c r="J268" s="1">
        <f t="shared" si="149"/>
        <v>1.666178244163002</v>
      </c>
      <c r="K268" s="1">
        <f t="shared" si="149"/>
        <v>1.6662144174982436</v>
      </c>
    </row>
    <row r="269" spans="1:18" x14ac:dyDescent="0.3">
      <c r="A269" s="5" t="s">
        <v>5</v>
      </c>
      <c r="B269" s="5" t="str">
        <f t="shared" si="138"/>
        <v>SPS3</v>
      </c>
      <c r="C269" s="5" t="s">
        <v>7</v>
      </c>
      <c r="D269" t="s">
        <v>638</v>
      </c>
      <c r="E269" t="str">
        <f>E233</f>
        <v>PJ/yr.</v>
      </c>
      <c r="F269" s="1">
        <f t="shared" si="149"/>
        <v>1.7938995501528936E-2</v>
      </c>
      <c r="G269" s="1">
        <f t="shared" si="149"/>
        <v>9.9134242962675371E-3</v>
      </c>
      <c r="H269" s="1">
        <f t="shared" si="149"/>
        <v>4.6748893612821186E-3</v>
      </c>
      <c r="I269" s="1">
        <f t="shared" si="149"/>
        <v>1.0699979968787612E-8</v>
      </c>
      <c r="J269" s="1">
        <f t="shared" si="149"/>
        <v>0.49240581896295371</v>
      </c>
      <c r="K269" s="1">
        <f t="shared" si="149"/>
        <v>3.3246774129174011E-3</v>
      </c>
    </row>
    <row r="270" spans="1:18" x14ac:dyDescent="0.3">
      <c r="A270" s="5" t="s">
        <v>5</v>
      </c>
      <c r="B270" s="5" t="str">
        <f t="shared" si="138"/>
        <v>SPS3</v>
      </c>
      <c r="C270" s="5" t="s">
        <v>7</v>
      </c>
      <c r="D270" t="s">
        <v>639</v>
      </c>
      <c r="E270" t="str">
        <f>E237</f>
        <v>PJ/yr.</v>
      </c>
      <c r="F270" s="1">
        <f t="shared" si="149"/>
        <v>0</v>
      </c>
      <c r="G270" s="1">
        <f t="shared" si="149"/>
        <v>0</v>
      </c>
      <c r="H270" s="1">
        <f t="shared" si="149"/>
        <v>0</v>
      </c>
      <c r="I270" s="1">
        <f t="shared" si="149"/>
        <v>9.6833233814530575E-9</v>
      </c>
      <c r="J270" s="1">
        <f t="shared" si="149"/>
        <v>2.7501146627249605E-3</v>
      </c>
      <c r="K270" s="1">
        <f t="shared" si="149"/>
        <v>7.5694794979661211E-3</v>
      </c>
    </row>
    <row r="271" spans="1:18" x14ac:dyDescent="0.3">
      <c r="A271" s="5" t="s">
        <v>5</v>
      </c>
      <c r="B271" s="5" t="str">
        <f t="shared" si="138"/>
        <v>SPS3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1.9348936756277308</v>
      </c>
      <c r="G271" s="1">
        <f t="shared" ref="G271:K271" si="150">SUM(G272:G273)</f>
        <v>1.8588235968663129</v>
      </c>
      <c r="H271" s="1">
        <f t="shared" si="150"/>
        <v>2.5503305591876173</v>
      </c>
      <c r="I271" s="1">
        <f t="shared" si="150"/>
        <v>2.3158676321157317</v>
      </c>
      <c r="J271" s="1">
        <f t="shared" si="150"/>
        <v>3.2974247645746351</v>
      </c>
      <c r="K271" s="1">
        <f t="shared" si="150"/>
        <v>2.0110746923394887</v>
      </c>
    </row>
    <row r="272" spans="1:18" x14ac:dyDescent="0.3">
      <c r="A272" s="5" t="s">
        <v>5</v>
      </c>
      <c r="B272" s="5" t="str">
        <f t="shared" si="138"/>
        <v>SPS3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1.9348936756277308</v>
      </c>
      <c r="G272" s="1">
        <f>'[1]Electricity and CHPs'!C$106-G273</f>
        <v>1.8588235968663129</v>
      </c>
      <c r="H272" s="1">
        <f>'[1]Electricity and CHPs'!D$106-H273</f>
        <v>2.5503305591876173</v>
      </c>
      <c r="I272" s="1">
        <f>'[1]Electricity and CHPs'!E$106-I273</f>
        <v>2.3158676321157317</v>
      </c>
      <c r="J272" s="1">
        <f>'[1]Electricity and CHPs'!F$106-J273</f>
        <v>3.2404013006370569</v>
      </c>
      <c r="K272" s="1">
        <f>'[1]Electricity and CHPs'!G$106-K273</f>
        <v>1.7069012072568057E-3</v>
      </c>
    </row>
    <row r="273" spans="1:11" x14ac:dyDescent="0.3">
      <c r="A273" s="5" t="s">
        <v>5</v>
      </c>
      <c r="B273" s="5" t="str">
        <f t="shared" si="138"/>
        <v>SPS3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5.7023463937578324E-2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2.0093677911322319</v>
      </c>
    </row>
    <row r="274" spans="1:11" x14ac:dyDescent="0.3">
      <c r="A274" s="5" t="s">
        <v>5</v>
      </c>
      <c r="B274" s="5" t="str">
        <f t="shared" si="138"/>
        <v>SPS3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51">SUM(G275:G276)</f>
        <v>0</v>
      </c>
      <c r="H274" s="10">
        <f t="shared" si="151"/>
        <v>0</v>
      </c>
      <c r="I274" s="10">
        <f t="shared" si="151"/>
        <v>0</v>
      </c>
      <c r="J274" s="10">
        <f t="shared" si="151"/>
        <v>0</v>
      </c>
      <c r="K274" s="10">
        <f t="shared" si="151"/>
        <v>0</v>
      </c>
    </row>
    <row r="275" spans="1:11" x14ac:dyDescent="0.3">
      <c r="A275" s="5" t="s">
        <v>5</v>
      </c>
      <c r="B275" s="5" t="str">
        <f t="shared" si="138"/>
        <v>SPS3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3">
      <c r="A276" s="5" t="s">
        <v>5</v>
      </c>
      <c r="B276" s="5" t="str">
        <f t="shared" si="138"/>
        <v>SPS3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3">
      <c r="A277" s="5" t="s">
        <v>5</v>
      </c>
      <c r="B277" s="5" t="str">
        <f t="shared" si="138"/>
        <v>SPS3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1.9348936756277308</v>
      </c>
      <c r="G277" s="1">
        <f t="shared" ref="G277:K277" si="152">SUM(G278:G279)</f>
        <v>1.8588235968663129</v>
      </c>
      <c r="H277" s="1">
        <f t="shared" si="152"/>
        <v>2.5503305591876173</v>
      </c>
      <c r="I277" s="1">
        <f t="shared" si="152"/>
        <v>2.3158676321157317</v>
      </c>
      <c r="J277" s="1">
        <f t="shared" si="152"/>
        <v>3.2974247645746351</v>
      </c>
      <c r="K277" s="1">
        <f t="shared" si="152"/>
        <v>2.0110746923394887</v>
      </c>
    </row>
    <row r="278" spans="1:11" x14ac:dyDescent="0.3">
      <c r="A278" s="5" t="s">
        <v>5</v>
      </c>
      <c r="B278" s="5" t="str">
        <f t="shared" si="138"/>
        <v>SPS3</v>
      </c>
      <c r="C278" s="5" t="s">
        <v>7</v>
      </c>
      <c r="D278" t="s">
        <v>183</v>
      </c>
      <c r="E278" t="str">
        <f>E183</f>
        <v>PJ/yr.</v>
      </c>
      <c r="F278" s="1">
        <f>F272</f>
        <v>1.9348936756277308</v>
      </c>
      <c r="G278" s="1">
        <f t="shared" ref="G278:K278" si="153">G272</f>
        <v>1.8588235968663129</v>
      </c>
      <c r="H278" s="1">
        <f t="shared" si="153"/>
        <v>2.5503305591876173</v>
      </c>
      <c r="I278" s="1">
        <f t="shared" si="153"/>
        <v>2.3158676321157317</v>
      </c>
      <c r="J278" s="1">
        <f t="shared" si="153"/>
        <v>3.2404013006370569</v>
      </c>
      <c r="K278" s="1">
        <f t="shared" si="153"/>
        <v>1.7069012072568057E-3</v>
      </c>
    </row>
    <row r="279" spans="1:11" x14ac:dyDescent="0.3">
      <c r="A279" s="5" t="s">
        <v>5</v>
      </c>
      <c r="B279" s="5" t="str">
        <f t="shared" si="138"/>
        <v>SPS3</v>
      </c>
      <c r="C279" s="5" t="s">
        <v>7</v>
      </c>
      <c r="D279" t="s">
        <v>184</v>
      </c>
      <c r="E279" t="str">
        <f>E185</f>
        <v>PJ/yr.</v>
      </c>
      <c r="F279" s="1">
        <f t="shared" ref="F279:K279" si="154">F273</f>
        <v>0</v>
      </c>
      <c r="G279" s="1">
        <f t="shared" si="154"/>
        <v>0</v>
      </c>
      <c r="H279" s="1">
        <f t="shared" si="154"/>
        <v>0</v>
      </c>
      <c r="I279" s="1">
        <f t="shared" si="154"/>
        <v>0</v>
      </c>
      <c r="J279" s="1">
        <f t="shared" si="154"/>
        <v>5.7023463937578324E-2</v>
      </c>
      <c r="K279" s="1">
        <f t="shared" si="154"/>
        <v>2.0093677911322319</v>
      </c>
    </row>
    <row r="280" spans="1:11" x14ac:dyDescent="0.3">
      <c r="A280" s="5" t="s">
        <v>5</v>
      </c>
      <c r="B280" s="5" t="str">
        <f t="shared" si="138"/>
        <v>SPS3</v>
      </c>
      <c r="C280" s="5" t="s">
        <v>7</v>
      </c>
      <c r="D280" t="s">
        <v>844</v>
      </c>
      <c r="E280" t="str">
        <f>E186</f>
        <v>PJ/yr.</v>
      </c>
      <c r="F280" s="1">
        <f>SUM(F281:F285)</f>
        <v>0.66197305726309175</v>
      </c>
      <c r="G280" s="1">
        <f t="shared" ref="G280:K280" si="155">SUM(G281:G285)</f>
        <v>1.8189927110344692</v>
      </c>
      <c r="H280" s="1">
        <f t="shared" si="155"/>
        <v>3.3843308029428121</v>
      </c>
      <c r="I280" s="1">
        <f t="shared" si="155"/>
        <v>4.6724627542679835</v>
      </c>
      <c r="J280" s="1">
        <f t="shared" si="155"/>
        <v>7.5311513190750148</v>
      </c>
      <c r="K280" s="1">
        <f t="shared" si="155"/>
        <v>8.2893093710682901</v>
      </c>
    </row>
    <row r="281" spans="1:11" x14ac:dyDescent="0.3">
      <c r="A281" s="5" t="s">
        <v>5</v>
      </c>
      <c r="B281" s="5" t="str">
        <f t="shared" si="138"/>
        <v>SPS3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0.65982954085029144</v>
      </c>
      <c r="G281" s="1">
        <f>'[1]Electricity and CHPs'!C$105-G282</f>
        <v>1.8166299084145672</v>
      </c>
      <c r="H281" s="1">
        <f>'[1]Electricity and CHPs'!D$105-H282</f>
        <v>3.3832932164389846</v>
      </c>
      <c r="I281" s="1">
        <f>'[1]Electricity and CHPs'!E$105-I282</f>
        <v>4.6533205742098618</v>
      </c>
      <c r="J281" s="1">
        <f>'[1]Electricity and CHPs'!F$105-J282</f>
        <v>2.494650368185737</v>
      </c>
      <c r="K281" s="1">
        <f>'[1]Electricity and CHPs'!G$105-K282</f>
        <v>0.65547992551454293</v>
      </c>
    </row>
    <row r="282" spans="1:11" x14ac:dyDescent="0.3">
      <c r="A282" s="5" t="s">
        <v>5</v>
      </c>
      <c r="B282" s="5" t="str">
        <f t="shared" si="138"/>
        <v>SPS3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4.6593795211408304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7.5034736333162577</v>
      </c>
    </row>
    <row r="283" spans="1:11" x14ac:dyDescent="0.3">
      <c r="A283" s="5" t="s">
        <v>5</v>
      </c>
      <c r="B283" s="5" t="str">
        <f t="shared" si="138"/>
        <v>SPS3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1.0081871083285688E-3</v>
      </c>
      <c r="G283" s="1">
        <f>'[1]Electricity and CHPs'!C$110</f>
        <v>1.1817061987209163E-3</v>
      </c>
      <c r="H283" s="1">
        <f>'[1]Electricity and CHPs'!D$110</f>
        <v>5.1805175922290672E-4</v>
      </c>
      <c r="I283" s="1">
        <f>'[1]Electricity and CHPs'!E$110</f>
        <v>7.0892398081250276E-3</v>
      </c>
      <c r="J283" s="1">
        <f>'[1]Electricity and CHPs'!F$110</f>
        <v>0.12037618307308676</v>
      </c>
      <c r="K283" s="1">
        <f>'[1]Electricity and CHPs'!G$110</f>
        <v>4.2497844422349815E-2</v>
      </c>
    </row>
    <row r="284" spans="1:11" x14ac:dyDescent="0.3">
      <c r="A284" s="5" t="s">
        <v>5</v>
      </c>
      <c r="B284" s="5" t="str">
        <f t="shared" si="138"/>
        <v>SPS3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1.1353293044716714E-3</v>
      </c>
      <c r="G284" s="1">
        <f>'[1]Electricity and CHPs'!C$113</f>
        <v>1.1810964211811637E-3</v>
      </c>
      <c r="H284" s="1">
        <f>'[1]Electricity and CHPs'!D$113</f>
        <v>5.1953474460474536E-4</v>
      </c>
      <c r="I284" s="1">
        <f>'[1]Electricity and CHPs'!E$113</f>
        <v>1.1094814856372391E-2</v>
      </c>
      <c r="J284" s="1">
        <f>'[1]Electricity and CHPs'!F$113</f>
        <v>0.22389958005219532</v>
      </c>
      <c r="K284" s="1">
        <f>'[1]Electricity and CHPs'!G$113</f>
        <v>8.2308458157541314E-2</v>
      </c>
    </row>
    <row r="285" spans="1:11" x14ac:dyDescent="0.3">
      <c r="A285" s="5" t="s">
        <v>5</v>
      </c>
      <c r="B285" s="5" t="str">
        <f t="shared" si="138"/>
        <v>SPS3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9.5812539362383578E-4</v>
      </c>
      <c r="J285" s="1">
        <f>'[1]Electricity and CHPs'!F$117</f>
        <v>3.2845666623165182E-2</v>
      </c>
      <c r="K285" s="1">
        <f>'[1]Electricity and CHPs'!G$117</f>
        <v>5.549509657598109E-3</v>
      </c>
    </row>
    <row r="286" spans="1:11" x14ac:dyDescent="0.3">
      <c r="A286" s="5" t="s">
        <v>5</v>
      </c>
      <c r="B286" s="5" t="str">
        <f t="shared" si="138"/>
        <v>SPS3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56">SUM(G287:G288)</f>
        <v>0</v>
      </c>
      <c r="H286" s="1">
        <f t="shared" si="156"/>
        <v>0</v>
      </c>
      <c r="I286" s="1">
        <f t="shared" si="156"/>
        <v>1.3910769265010232E-3</v>
      </c>
      <c r="J286" s="1">
        <f t="shared" si="156"/>
        <v>6.5932430156456319E-3</v>
      </c>
      <c r="K286" s="1">
        <f t="shared" si="156"/>
        <v>2.4945469627870462</v>
      </c>
    </row>
    <row r="287" spans="1:11" x14ac:dyDescent="0.3">
      <c r="A287" s="5" t="s">
        <v>5</v>
      </c>
      <c r="B287" s="5" t="str">
        <f t="shared" si="138"/>
        <v>SPS3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0</v>
      </c>
      <c r="J287" s="1">
        <f>'[1]Electricity and CHPs'!F$108</f>
        <v>3.6932298532031853E-3</v>
      </c>
      <c r="K287" s="1">
        <f>'[1]Electricity and CHPs'!G$108</f>
        <v>2.4765129343485262</v>
      </c>
    </row>
    <row r="288" spans="1:11" x14ac:dyDescent="0.3">
      <c r="A288" s="5" t="s">
        <v>5</v>
      </c>
      <c r="B288" s="5" t="str">
        <f t="shared" si="138"/>
        <v>SPS3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1.3910769265010232E-3</v>
      </c>
      <c r="J288" s="1">
        <f>'[1]Electricity and CHPs'!F$119</f>
        <v>2.9000131624424465E-3</v>
      </c>
      <c r="K288" s="1">
        <f>'[1]Electricity and CHPs'!G$119</f>
        <v>1.8034028438520051E-2</v>
      </c>
    </row>
    <row r="289" spans="1:13" x14ac:dyDescent="0.3">
      <c r="A289" s="5" t="s">
        <v>5</v>
      </c>
      <c r="B289" s="9" t="str">
        <f t="shared" si="138"/>
        <v>SPS3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438.0558964918518</v>
      </c>
      <c r="G289" s="3">
        <f t="shared" ref="G289" si="157">SUM(G290,G292,G300,G308,G356,G377,G385,G387,G395,G399,G393)</f>
        <v>419.761602575609</v>
      </c>
      <c r="H289" s="3">
        <f t="shared" ref="H289" si="158">SUM(H290,H292,H300,H308,H356,H377,H385,H387,H395,H399,H393)</f>
        <v>465.08297564862363</v>
      </c>
      <c r="I289" s="3">
        <f t="shared" ref="I289" si="159">SUM(I290,I292,I300,I308,I356,I377,I385,I387,I395,I399,I393)</f>
        <v>423.02028177456884</v>
      </c>
      <c r="J289" s="3">
        <f t="shared" ref="J289" si="160">SUM(J290,J292,J300,J308,J356,J377,J385,J387,J395,J399,J393)</f>
        <v>359.68002110487271</v>
      </c>
      <c r="K289" s="3">
        <f t="shared" ref="K289" si="161">SUM(K290,K292,K300,K308,K356,K377,K385,K387,K395,K399,K393)</f>
        <v>306.89199650123868</v>
      </c>
    </row>
    <row r="290" spans="1:13" x14ac:dyDescent="0.3">
      <c r="A290" s="5" t="s">
        <v>5</v>
      </c>
      <c r="B290" s="5" t="str">
        <f t="shared" si="138"/>
        <v>SPS3</v>
      </c>
      <c r="C290" s="5" t="s">
        <v>7</v>
      </c>
      <c r="D290" t="s">
        <v>846</v>
      </c>
      <c r="E290" t="str">
        <f>E288</f>
        <v>PJ/yr.</v>
      </c>
      <c r="F290" s="1">
        <f>F291</f>
        <v>250.94822229156796</v>
      </c>
      <c r="G290" s="1">
        <f t="shared" ref="G290:K290" si="162">G291</f>
        <v>253.28453315786527</v>
      </c>
      <c r="H290" s="1">
        <f t="shared" si="162"/>
        <v>215.81449200800131</v>
      </c>
      <c r="I290" s="1">
        <f t="shared" si="162"/>
        <v>209.5845523305552</v>
      </c>
      <c r="J290" s="1">
        <f t="shared" si="162"/>
        <v>98.945488502927219</v>
      </c>
      <c r="K290" s="1">
        <f t="shared" si="162"/>
        <v>0</v>
      </c>
    </row>
    <row r="291" spans="1:13" x14ac:dyDescent="0.3">
      <c r="A291" s="5" t="s">
        <v>5</v>
      </c>
      <c r="B291" s="5" t="str">
        <f t="shared" si="138"/>
        <v>SPS3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250.94822229156796</v>
      </c>
      <c r="G291" s="1">
        <f>'[1]Electricity and CHPs_IN'!C$14</f>
        <v>253.28453315786527</v>
      </c>
      <c r="H291" s="1">
        <f>'[1]Electricity and CHPs_IN'!D$14</f>
        <v>215.81449200800131</v>
      </c>
      <c r="I291" s="1">
        <f>'[1]Electricity and CHPs_IN'!E$14</f>
        <v>209.5845523305552</v>
      </c>
      <c r="J291" s="1">
        <f>'[1]Electricity and CHPs_IN'!F$14</f>
        <v>98.945488502927219</v>
      </c>
      <c r="K291" s="1">
        <f>'[1]Electricity and CHPs_IN'!G$14</f>
        <v>0</v>
      </c>
    </row>
    <row r="292" spans="1:13" x14ac:dyDescent="0.3">
      <c r="A292" s="5" t="s">
        <v>5</v>
      </c>
      <c r="B292" s="5" t="str">
        <f t="shared" si="138"/>
        <v>SPS3</v>
      </c>
      <c r="C292" s="5" t="s">
        <v>7</v>
      </c>
      <c r="D292" t="s">
        <v>847</v>
      </c>
      <c r="E292" t="str">
        <f t="shared" ref="E292:E355" si="163">E291</f>
        <v>PJ/yr.</v>
      </c>
      <c r="F292" s="1">
        <f>SUM(F293:F295)</f>
        <v>149.43051528527872</v>
      </c>
      <c r="G292" s="1">
        <f t="shared" ref="G292:K292" si="164">SUM(G293:G295)</f>
        <v>125.62909466399515</v>
      </c>
      <c r="H292" s="1">
        <f t="shared" si="164"/>
        <v>191.02897728476563</v>
      </c>
      <c r="I292" s="1">
        <f t="shared" si="164"/>
        <v>150.81580582512464</v>
      </c>
      <c r="J292" s="1">
        <f t="shared" si="164"/>
        <v>152.09513941142598</v>
      </c>
      <c r="K292" s="1">
        <f t="shared" si="164"/>
        <v>152.50245738755802</v>
      </c>
    </row>
    <row r="293" spans="1:13" x14ac:dyDescent="0.3">
      <c r="A293" s="5" t="s">
        <v>5</v>
      </c>
      <c r="B293" s="5" t="str">
        <f t="shared" si="138"/>
        <v>SPS3</v>
      </c>
      <c r="C293" s="5" t="s">
        <v>7</v>
      </c>
      <c r="D293" t="s">
        <v>93</v>
      </c>
      <c r="E293" t="str">
        <f t="shared" si="163"/>
        <v>PJ/yr.</v>
      </c>
      <c r="F293" s="1">
        <f>'[1]Electricity and CHPs_IN'!B$15</f>
        <v>66.745680242457198</v>
      </c>
      <c r="G293" s="1">
        <f>'[1]Electricity and CHPs_IN'!C$15</f>
        <v>49.798772798818447</v>
      </c>
      <c r="H293" s="1">
        <f>'[1]Electricity and CHPs_IN'!D$15</f>
        <v>68.44373040175482</v>
      </c>
      <c r="I293" s="1">
        <f>'[1]Electricity and CHPs_IN'!E$15</f>
        <v>68.180550216121247</v>
      </c>
      <c r="J293" s="1">
        <f>'[1]Electricity and CHPs_IN'!F$15</f>
        <v>71.199673773627197</v>
      </c>
      <c r="K293" s="1">
        <f>'[1]Electricity and CHPs_IN'!G$15</f>
        <v>70.392364007093917</v>
      </c>
    </row>
    <row r="294" spans="1:13" x14ac:dyDescent="0.3">
      <c r="A294" s="5" t="s">
        <v>5</v>
      </c>
      <c r="B294" s="5" t="str">
        <f t="shared" si="138"/>
        <v>SPS3</v>
      </c>
      <c r="C294" s="5" t="s">
        <v>7</v>
      </c>
      <c r="D294" t="s">
        <v>94</v>
      </c>
      <c r="E294" t="str">
        <f t="shared" si="163"/>
        <v>PJ/yr.</v>
      </c>
      <c r="F294" s="1">
        <f>'[1]Electricity and CHPs_IN'!B$16</f>
        <v>66.632414534993345</v>
      </c>
      <c r="G294" s="1">
        <f>'[1]Electricity and CHPs_IN'!C$16</f>
        <v>55.763997394256521</v>
      </c>
      <c r="H294" s="1">
        <f>'[1]Electricity and CHPs_IN'!D$16</f>
        <v>65.64174178742968</v>
      </c>
      <c r="I294" s="1">
        <f>'[1]Electricity and CHPs_IN'!E$16</f>
        <v>66.967551450462892</v>
      </c>
      <c r="J294" s="1">
        <f>'[1]Electricity and CHPs_IN'!F$16</f>
        <v>64.786803230896652</v>
      </c>
      <c r="K294" s="1">
        <f>'[1]Electricity and CHPs_IN'!G$16</f>
        <v>65.594080260553554</v>
      </c>
    </row>
    <row r="295" spans="1:13" x14ac:dyDescent="0.3">
      <c r="A295" s="5" t="s">
        <v>5</v>
      </c>
      <c r="B295" s="5" t="str">
        <f t="shared" si="138"/>
        <v>SPS3</v>
      </c>
      <c r="C295" s="5" t="s">
        <v>7</v>
      </c>
      <c r="D295" t="s">
        <v>95</v>
      </c>
      <c r="E295" t="str">
        <f t="shared" si="163"/>
        <v>PJ/yr.</v>
      </c>
      <c r="F295" s="1">
        <f>'[1]Electricity and CHPs_IN'!B$13</f>
        <v>16.052420507828163</v>
      </c>
      <c r="G295" s="1">
        <f>'[1]Electricity and CHPs_IN'!C$13</f>
        <v>20.066324470920176</v>
      </c>
      <c r="H295" s="1">
        <f>'[1]Electricity and CHPs_IN'!D$13</f>
        <v>56.943505095581159</v>
      </c>
      <c r="I295" s="1">
        <f>'[1]Electricity and CHPs_IN'!E$13</f>
        <v>15.667704158540502</v>
      </c>
      <c r="J295" s="1">
        <f>'[1]Electricity and CHPs_IN'!F$13</f>
        <v>16.108662406902116</v>
      </c>
      <c r="K295" s="1">
        <f>'[1]Electricity and CHPs_IN'!G$13</f>
        <v>16.516013119910554</v>
      </c>
    </row>
    <row r="296" spans="1:13" x14ac:dyDescent="0.3">
      <c r="A296" s="5" t="s">
        <v>5</v>
      </c>
      <c r="B296" s="5" t="str">
        <f t="shared" si="138"/>
        <v>SPS3</v>
      </c>
      <c r="C296" s="5" t="s">
        <v>7</v>
      </c>
      <c r="D296" t="s">
        <v>848</v>
      </c>
      <c r="E296" t="str">
        <f t="shared" si="163"/>
        <v>PJ/yr.</v>
      </c>
      <c r="F296" s="1">
        <f>SUM(F297:F299)</f>
        <v>0.22095875893579051</v>
      </c>
      <c r="G296" s="1">
        <f t="shared" ref="G296:K296" si="165">SUM(G297:G299)</f>
        <v>5.9582080712194133E-2</v>
      </c>
      <c r="H296" s="1">
        <f t="shared" si="165"/>
        <v>4.216588992789274E-2</v>
      </c>
      <c r="I296" s="1">
        <f t="shared" si="165"/>
        <v>8.1267448583863238E-3</v>
      </c>
      <c r="J296" s="1">
        <f t="shared" si="165"/>
        <v>0.9046242385111023</v>
      </c>
      <c r="K296" s="1">
        <f t="shared" si="165"/>
        <v>0.20354820924052722</v>
      </c>
    </row>
    <row r="297" spans="1:13" x14ac:dyDescent="0.3">
      <c r="A297" s="5" t="s">
        <v>5</v>
      </c>
      <c r="B297" s="5" t="str">
        <f t="shared" si="138"/>
        <v>SPS3</v>
      </c>
      <c r="C297" s="5" t="s">
        <v>7</v>
      </c>
      <c r="D297" t="s">
        <v>96</v>
      </c>
      <c r="E297" t="str">
        <f t="shared" si="163"/>
        <v>PJ/yr.</v>
      </c>
      <c r="F297" s="1">
        <f>'[1]Electricity and CHPs_IN'!B$18</f>
        <v>0.183290522421727</v>
      </c>
      <c r="G297" s="1">
        <f>'[1]Electricity and CHPs_IN'!C$18</f>
        <v>5.3984736301980153E-3</v>
      </c>
      <c r="H297" s="1">
        <f>'[1]Electricity and CHPs_IN'!D$18</f>
        <v>3.3341983825441429E-2</v>
      </c>
      <c r="I297" s="1">
        <f>'[1]Electricity and CHPs_IN'!E$18</f>
        <v>4.5494909434250991E-3</v>
      </c>
      <c r="J297" s="1">
        <f>'[1]Electricity and CHPs_IN'!F$18</f>
        <v>8.4241060408363246E-3</v>
      </c>
      <c r="K297" s="1">
        <f>'[1]Electricity and CHPs_IN'!G$18</f>
        <v>1.2719377979961296E-4</v>
      </c>
    </row>
    <row r="298" spans="1:13" x14ac:dyDescent="0.3">
      <c r="A298" s="5" t="s">
        <v>5</v>
      </c>
      <c r="B298" s="5" t="str">
        <f t="shared" si="138"/>
        <v>SPS3</v>
      </c>
      <c r="C298" s="5" t="s">
        <v>7</v>
      </c>
      <c r="D298" t="s">
        <v>230</v>
      </c>
      <c r="E298" t="str">
        <f t="shared" si="163"/>
        <v>PJ/yr.</v>
      </c>
      <c r="F298" s="1">
        <f>IFERROR(F70/SUM(F70,F183),0)*'[1]Electricity and CHPs_IN'!B$28</f>
        <v>1.2932667170324961E-2</v>
      </c>
      <c r="G298" s="1">
        <f>IFERROR(G70/SUM(G70,G183),0)*'[1]Electricity and CHPs_IN'!C$28</f>
        <v>9.5521513872252786E-4</v>
      </c>
      <c r="H298" s="1">
        <f>IFERROR(H70/SUM(H70,H183),0)*'[1]Electricity and CHPs_IN'!D$28</f>
        <v>5.6040214234496953E-3</v>
      </c>
      <c r="I298" s="1">
        <f>IFERROR(I70/SUM(I70,I183),0)*'[1]Electricity and CHPs_IN'!E$28</f>
        <v>3.5691376597605873E-3</v>
      </c>
      <c r="J298" s="1">
        <f>IFERROR(J70/SUM(J70,J183),0)*'[1]Electricity and CHPs_IN'!F$28</f>
        <v>1.2237138595215529E-3</v>
      </c>
      <c r="K298" s="1">
        <f>IFERROR(K70/SUM(K70,K183),0)*'[1]Electricity and CHPs_IN'!G$28</f>
        <v>1.664616454001863E-5</v>
      </c>
      <c r="M298" s="1"/>
    </row>
    <row r="299" spans="1:13" x14ac:dyDescent="0.3">
      <c r="A299" s="5" t="s">
        <v>5</v>
      </c>
      <c r="B299" s="5" t="str">
        <f t="shared" si="138"/>
        <v>SPS3</v>
      </c>
      <c r="C299" s="5" t="s">
        <v>7</v>
      </c>
      <c r="D299" t="s">
        <v>97</v>
      </c>
      <c r="E299" t="str">
        <f t="shared" si="163"/>
        <v>PJ/yr.</v>
      </c>
      <c r="F299" s="1">
        <f>IFERROR(F71/SUM(F71,F233),0)*'[1]Electricity and CHPs_IN'!B$41</f>
        <v>2.473556934373854E-2</v>
      </c>
      <c r="G299" s="1">
        <f>IFERROR(G71/SUM(G71,G233),0)*'[1]Electricity and CHPs_IN'!C$41</f>
        <v>5.3228391943273591E-2</v>
      </c>
      <c r="H299" s="1">
        <f>IFERROR(H71/SUM(H71,H233),0)*'[1]Electricity and CHPs_IN'!D$41</f>
        <v>3.2198846790016159E-3</v>
      </c>
      <c r="I299" s="1">
        <f>IFERROR(I71/SUM(I71,I233),0)*'[1]Electricity and CHPs_IN'!E$41</f>
        <v>8.1162552006381485E-6</v>
      </c>
      <c r="J299" s="1">
        <f>IFERROR(J71/SUM(J71,J233),0)*'[1]Electricity and CHPs_IN'!F$41</f>
        <v>0.8949764186107444</v>
      </c>
      <c r="K299" s="1">
        <f>IFERROR(K71/SUM(K71,K233),0)*'[1]Electricity and CHPs_IN'!G$41</f>
        <v>0.20340436929618758</v>
      </c>
    </row>
    <row r="300" spans="1:13" x14ac:dyDescent="0.3">
      <c r="A300" s="5" t="s">
        <v>5</v>
      </c>
      <c r="B300" s="5" t="str">
        <f t="shared" si="138"/>
        <v>SPS3</v>
      </c>
      <c r="C300" s="5" t="s">
        <v>7</v>
      </c>
      <c r="D300" t="s">
        <v>849</v>
      </c>
      <c r="E300" t="str">
        <f t="shared" si="163"/>
        <v>PJ/yr.</v>
      </c>
      <c r="F300" s="1">
        <f>F296</f>
        <v>0.22095875893579051</v>
      </c>
      <c r="G300" s="1">
        <f t="shared" ref="G300:K300" si="166">G296</f>
        <v>5.9582080712194133E-2</v>
      </c>
      <c r="H300" s="1">
        <f t="shared" si="166"/>
        <v>4.216588992789274E-2</v>
      </c>
      <c r="I300" s="1">
        <f t="shared" si="166"/>
        <v>8.1267448583863238E-3</v>
      </c>
      <c r="J300" s="1">
        <f t="shared" si="166"/>
        <v>0.9046242385111023</v>
      </c>
      <c r="K300" s="1">
        <f t="shared" si="166"/>
        <v>0.20354820924052722</v>
      </c>
    </row>
    <row r="301" spans="1:13" x14ac:dyDescent="0.3">
      <c r="A301" s="5" t="s">
        <v>5</v>
      </c>
      <c r="B301" s="5" t="str">
        <f t="shared" si="138"/>
        <v>SPS3</v>
      </c>
      <c r="C301" s="5" t="s">
        <v>7</v>
      </c>
      <c r="D301" t="s">
        <v>520</v>
      </c>
      <c r="E301" t="str">
        <f t="shared" si="163"/>
        <v>PJ/yr.</v>
      </c>
      <c r="F301" s="1">
        <f t="shared" ref="F301:K301" si="167">F297</f>
        <v>0.183290522421727</v>
      </c>
      <c r="G301" s="1">
        <f t="shared" si="167"/>
        <v>5.3984736301980153E-3</v>
      </c>
      <c r="H301" s="1">
        <f t="shared" si="167"/>
        <v>3.3341983825441429E-2</v>
      </c>
      <c r="I301" s="1">
        <f t="shared" si="167"/>
        <v>4.5494909434250991E-3</v>
      </c>
      <c r="J301" s="1">
        <f t="shared" si="167"/>
        <v>8.4241060408363246E-3</v>
      </c>
      <c r="K301" s="1">
        <f t="shared" si="167"/>
        <v>1.2719377979961296E-4</v>
      </c>
    </row>
    <row r="302" spans="1:13" x14ac:dyDescent="0.3">
      <c r="A302" s="5" t="s">
        <v>5</v>
      </c>
      <c r="B302" s="5" t="str">
        <f t="shared" si="138"/>
        <v>SPS3</v>
      </c>
      <c r="C302" s="5" t="s">
        <v>7</v>
      </c>
      <c r="D302" t="s">
        <v>521</v>
      </c>
      <c r="E302" t="str">
        <f t="shared" si="163"/>
        <v>PJ/yr.</v>
      </c>
      <c r="F302" s="1">
        <f t="shared" ref="F302:K302" si="168">F298</f>
        <v>1.2932667170324961E-2</v>
      </c>
      <c r="G302" s="1">
        <f t="shared" si="168"/>
        <v>9.5521513872252786E-4</v>
      </c>
      <c r="H302" s="1">
        <f t="shared" si="168"/>
        <v>5.6040214234496953E-3</v>
      </c>
      <c r="I302" s="1">
        <f t="shared" si="168"/>
        <v>3.5691376597605873E-3</v>
      </c>
      <c r="J302" s="1">
        <f t="shared" si="168"/>
        <v>1.2237138595215529E-3</v>
      </c>
      <c r="K302" s="1">
        <f t="shared" si="168"/>
        <v>1.664616454001863E-5</v>
      </c>
    </row>
    <row r="303" spans="1:13" x14ac:dyDescent="0.3">
      <c r="A303" s="5" t="s">
        <v>5</v>
      </c>
      <c r="B303" s="5" t="str">
        <f t="shared" si="138"/>
        <v>SPS3</v>
      </c>
      <c r="C303" s="5" t="s">
        <v>7</v>
      </c>
      <c r="D303" t="s">
        <v>522</v>
      </c>
      <c r="E303" t="str">
        <f t="shared" si="163"/>
        <v>PJ/yr.</v>
      </c>
      <c r="F303" s="1">
        <f t="shared" ref="F303:K303" si="169">F299</f>
        <v>2.473556934373854E-2</v>
      </c>
      <c r="G303" s="1">
        <f t="shared" si="169"/>
        <v>5.3228391943273591E-2</v>
      </c>
      <c r="H303" s="1">
        <f t="shared" si="169"/>
        <v>3.2198846790016159E-3</v>
      </c>
      <c r="I303" s="1">
        <f t="shared" si="169"/>
        <v>8.1162552006381485E-6</v>
      </c>
      <c r="J303" s="1">
        <f t="shared" si="169"/>
        <v>0.8949764186107444</v>
      </c>
      <c r="K303" s="1">
        <f t="shared" si="169"/>
        <v>0.20340436929618758</v>
      </c>
    </row>
    <row r="304" spans="1:13" x14ac:dyDescent="0.3">
      <c r="A304" s="5" t="s">
        <v>5</v>
      </c>
      <c r="B304" s="5" t="str">
        <f t="shared" si="138"/>
        <v>SPS3</v>
      </c>
      <c r="C304" s="5" t="s">
        <v>7</v>
      </c>
      <c r="D304" t="s">
        <v>850</v>
      </c>
      <c r="E304" t="str">
        <f t="shared" si="163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3">
      <c r="A305" s="5" t="s">
        <v>5</v>
      </c>
      <c r="B305" s="5" t="str">
        <f t="shared" si="138"/>
        <v>SPS3</v>
      </c>
      <c r="C305" s="5" t="s">
        <v>7</v>
      </c>
      <c r="D305" t="s">
        <v>544</v>
      </c>
      <c r="E305" t="str">
        <f t="shared" si="163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3">
      <c r="A306" s="5" t="s">
        <v>5</v>
      </c>
      <c r="B306" s="5" t="str">
        <f t="shared" si="138"/>
        <v>SPS3</v>
      </c>
      <c r="C306" s="5" t="s">
        <v>7</v>
      </c>
      <c r="D306" t="s">
        <v>545</v>
      </c>
      <c r="E306" t="str">
        <f t="shared" si="163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3">
      <c r="A307" s="5" t="s">
        <v>5</v>
      </c>
      <c r="B307" s="5" t="str">
        <f t="shared" si="138"/>
        <v>SPS3</v>
      </c>
      <c r="C307" s="5" t="s">
        <v>7</v>
      </c>
      <c r="D307" t="s">
        <v>546</v>
      </c>
      <c r="E307" t="str">
        <f t="shared" si="163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3">
      <c r="A308" s="5" t="s">
        <v>5</v>
      </c>
      <c r="B308" s="5" t="str">
        <f t="shared" ref="B308:B371" si="170">B307</f>
        <v>SPS3</v>
      </c>
      <c r="C308" s="5" t="s">
        <v>7</v>
      </c>
      <c r="D308" t="s">
        <v>851</v>
      </c>
      <c r="E308" t="str">
        <f t="shared" si="163"/>
        <v>PJ/yr.</v>
      </c>
      <c r="F308" s="1">
        <f>SUM(F309:F323)</f>
        <v>4.240470728600692</v>
      </c>
      <c r="G308" s="1">
        <f t="shared" ref="G308:K308" si="171">SUM(G309:G323)</f>
        <v>2.1753093233106178</v>
      </c>
      <c r="H308" s="1">
        <f t="shared" si="171"/>
        <v>1.4849328475455608</v>
      </c>
      <c r="I308" s="1">
        <f t="shared" si="171"/>
        <v>1.4118425763583091</v>
      </c>
      <c r="J308" s="1">
        <f t="shared" si="171"/>
        <v>7.9076046295163804</v>
      </c>
      <c r="K308" s="1">
        <f t="shared" si="171"/>
        <v>11.200492389995647</v>
      </c>
    </row>
    <row r="309" spans="1:11" x14ac:dyDescent="0.3">
      <c r="A309" s="5" t="s">
        <v>5</v>
      </c>
      <c r="B309" s="5" t="str">
        <f t="shared" si="170"/>
        <v>SPS3</v>
      </c>
      <c r="C309" s="5" t="s">
        <v>7</v>
      </c>
      <c r="D309" t="s">
        <v>98</v>
      </c>
      <c r="E309" t="str">
        <f t="shared" si="163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0.46545253984539409</v>
      </c>
      <c r="K309" s="1">
        <f>'[1]Electricity and CHPs_IN'!G$21</f>
        <v>3.0816399237645949E-2</v>
      </c>
    </row>
    <row r="310" spans="1:11" x14ac:dyDescent="0.3">
      <c r="A310" s="5" t="s">
        <v>5</v>
      </c>
      <c r="B310" s="5" t="str">
        <f t="shared" si="170"/>
        <v>SPS3</v>
      </c>
      <c r="C310" s="5" t="s">
        <v>7</v>
      </c>
      <c r="D310" t="s">
        <v>99</v>
      </c>
      <c r="E310" t="str">
        <f t="shared" si="163"/>
        <v>PJ/yr.</v>
      </c>
      <c r="F310" s="1">
        <f>'[1]Electricity and CHPs_IN'!B$22</f>
        <v>0</v>
      </c>
      <c r="G310" s="1">
        <f>'[1]Electricity and CHPs_IN'!C$22</f>
        <v>0</v>
      </c>
      <c r="H310" s="1">
        <f>'[1]Electricity and CHPs_IN'!D$22</f>
        <v>0</v>
      </c>
      <c r="I310" s="1">
        <f>'[1]Electricity and CHPs_IN'!E$22</f>
        <v>3.8709327451966327E-4</v>
      </c>
      <c r="J310" s="1">
        <f>'[1]Electricity and CHPs_IN'!F$22</f>
        <v>0.26307459456481253</v>
      </c>
      <c r="K310" s="1">
        <f>'[1]Electricity and CHPs_IN'!G$22</f>
        <v>6.641754170844022E-2</v>
      </c>
    </row>
    <row r="311" spans="1:11" x14ac:dyDescent="0.3">
      <c r="A311" s="5" t="s">
        <v>5</v>
      </c>
      <c r="B311" s="5" t="str">
        <f t="shared" si="170"/>
        <v>SPS3</v>
      </c>
      <c r="C311" s="5" t="s">
        <v>7</v>
      </c>
      <c r="D311" t="s">
        <v>100</v>
      </c>
      <c r="E311" t="str">
        <f t="shared" si="163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3.5424214755865262E-2</v>
      </c>
      <c r="K311" s="1">
        <f>'[1]Electricity and CHPs_IN'!G$23</f>
        <v>7.5365258755201534</v>
      </c>
    </row>
    <row r="312" spans="1:11" x14ac:dyDescent="0.3">
      <c r="A312" s="5" t="s">
        <v>5</v>
      </c>
      <c r="B312" s="5" t="str">
        <f t="shared" si="170"/>
        <v>SPS3</v>
      </c>
      <c r="C312" s="5" t="s">
        <v>7</v>
      </c>
      <c r="D312" t="s">
        <v>101</v>
      </c>
      <c r="E312" t="str">
        <f t="shared" si="163"/>
        <v>PJ/yr.</v>
      </c>
      <c r="F312" s="1">
        <f>IFERROR(F84/SUM(F84+F187),0)*'[1]Electricity and CHPs_IN'!B$24</f>
        <v>1.3451268184080087</v>
      </c>
      <c r="G312" s="1">
        <f>IFERROR(G84/SUM(G84+G187),0)*'[1]Electricity and CHPs_IN'!C$24</f>
        <v>1.4147396537762338E-3</v>
      </c>
      <c r="H312" s="1">
        <f>IFERROR(H84/SUM(H84+H187),0)*'[1]Electricity and CHPs_IN'!D$24</f>
        <v>1.6331201558050071E-2</v>
      </c>
      <c r="I312" s="1">
        <f>IFERROR(I84/SUM(I84+I187),0)*'[1]Electricity and CHPs_IN'!E$24</f>
        <v>1.8931797413068312E-4</v>
      </c>
      <c r="J312" s="1">
        <f>IFERROR(J84/SUM(J84+J187),0)*'[1]Electricity and CHPs_IN'!F$24</f>
        <v>5.0362466920540194E-3</v>
      </c>
      <c r="K312" s="1">
        <f>IFERROR(K84/SUM(K84+K187),0)*'[1]Electricity and CHPs_IN'!G$24</f>
        <v>3.7791054787273725E-3</v>
      </c>
    </row>
    <row r="313" spans="1:11" x14ac:dyDescent="0.3">
      <c r="A313" s="5" t="s">
        <v>5</v>
      </c>
      <c r="B313" s="5" t="str">
        <f t="shared" si="170"/>
        <v>SPS3</v>
      </c>
      <c r="C313" s="5" t="s">
        <v>7</v>
      </c>
      <c r="D313" t="s">
        <v>102</v>
      </c>
      <c r="E313" t="str">
        <f t="shared" si="163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9.7698354446973286E-3</v>
      </c>
      <c r="K313" s="1">
        <f>IFERROR(K85/SUM(K85+K188),0)*'[1]Electricity and CHPs_IN'!G$29</f>
        <v>1.0203308258683973E-2</v>
      </c>
    </row>
    <row r="314" spans="1:11" x14ac:dyDescent="0.3">
      <c r="A314" s="5" t="s">
        <v>5</v>
      </c>
      <c r="B314" s="5" t="str">
        <f t="shared" si="170"/>
        <v>SPS3</v>
      </c>
      <c r="C314" s="5" t="s">
        <v>7</v>
      </c>
      <c r="D314" t="s">
        <v>103</v>
      </c>
      <c r="E314" t="str">
        <f t="shared" si="163"/>
        <v>PJ/yr.</v>
      </c>
      <c r="F314" s="1">
        <f>F86/SUM(F86,F239)*'[1]Electricity and CHPs_IN'!B$39</f>
        <v>0.89333602415014945</v>
      </c>
      <c r="G314" s="1">
        <f>G86/SUM(G86,G239)*'[1]Electricity and CHPs_IN'!C$39</f>
        <v>0.12086393141735299</v>
      </c>
      <c r="H314" s="1">
        <f>H86/SUM(H86,H239)*'[1]Electricity and CHPs_IN'!D$39</f>
        <v>6.6077119152079686E-2</v>
      </c>
      <c r="I314" s="1">
        <f>I86/SUM(I86,I239)*'[1]Electricity and CHPs_IN'!E$39</f>
        <v>3.1007164027388782E-2</v>
      </c>
      <c r="J314" s="1">
        <f>J86/SUM(J86,J239)*'[1]Electricity and CHPs_IN'!F$39</f>
        <v>4.7767080468719476E-2</v>
      </c>
      <c r="K314" s="1">
        <f>K86/SUM(K86,K239)*'[1]Electricity and CHPs_IN'!G$39</f>
        <v>8.258452954623359E-2</v>
      </c>
    </row>
    <row r="315" spans="1:11" x14ac:dyDescent="0.3">
      <c r="A315" s="5" t="s">
        <v>5</v>
      </c>
      <c r="B315" s="5" t="str">
        <f t="shared" si="170"/>
        <v>SPS3</v>
      </c>
      <c r="C315" s="5" t="s">
        <v>7</v>
      </c>
      <c r="D315" t="s">
        <v>104</v>
      </c>
      <c r="E315" t="str">
        <f t="shared" si="163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1.0040354198836485E-2</v>
      </c>
      <c r="K315" s="1">
        <f>IFERROR(K87/SUM(K87,K240),0)*'[1]Electricity and CHPs_IN'!G$40</f>
        <v>3.2467988060610208E-2</v>
      </c>
    </row>
    <row r="316" spans="1:11" x14ac:dyDescent="0.3">
      <c r="A316" s="5" t="s">
        <v>5</v>
      </c>
      <c r="B316" s="5" t="str">
        <f t="shared" si="170"/>
        <v>SPS3</v>
      </c>
      <c r="C316" s="5" t="s">
        <v>7</v>
      </c>
      <c r="D316" t="s">
        <v>105</v>
      </c>
      <c r="E316" t="str">
        <f t="shared" si="163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3">
      <c r="A317" s="5" t="s">
        <v>5</v>
      </c>
      <c r="B317" s="5" t="str">
        <f t="shared" si="170"/>
        <v>SPS3</v>
      </c>
      <c r="C317" s="5" t="s">
        <v>7</v>
      </c>
      <c r="D317" t="s">
        <v>106</v>
      </c>
      <c r="E317" t="str">
        <f t="shared" si="163"/>
        <v>PJ/yr.</v>
      </c>
      <c r="F317" s="1">
        <f>F89/SUM(F89,F242)*'[1]Electricity and CHPs_IN'!B$48</f>
        <v>4.5407696213544568E-2</v>
      </c>
      <c r="G317" s="1">
        <f>G89/SUM(G89,G242)*'[1]Electricity and CHPs_IN'!C$48</f>
        <v>2.4829630004911565E-3</v>
      </c>
      <c r="H317" s="1">
        <f>H89/SUM(H89,H242)*'[1]Electricity and CHPs_IN'!D$48</f>
        <v>1.4868475407936885E-2</v>
      </c>
      <c r="I317" s="1">
        <f>I89/SUM(I89,I242)*'[1]Electricity and CHPs_IN'!E$48</f>
        <v>2.2411137561745582E-6</v>
      </c>
      <c r="J317" s="1">
        <f>J89/SUM(J89,J242)*'[1]Electricity and CHPs_IN'!F$48</f>
        <v>1.124363574949583E-2</v>
      </c>
      <c r="K317" s="1">
        <f>K89/SUM(K89,K242)*'[1]Electricity and CHPs_IN'!G$48</f>
        <v>1.4402907533262534E-2</v>
      </c>
    </row>
    <row r="318" spans="1:11" x14ac:dyDescent="0.3">
      <c r="A318" s="5" t="s">
        <v>5</v>
      </c>
      <c r="B318" s="5" t="str">
        <f t="shared" si="170"/>
        <v>SPS3</v>
      </c>
      <c r="C318" s="5" t="s">
        <v>7</v>
      </c>
      <c r="D318" t="s">
        <v>107</v>
      </c>
      <c r="E318" t="str">
        <f t="shared" si="163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6.6410660500308726E-5</v>
      </c>
      <c r="J318" s="1">
        <f>IFERROR(J90/SUM(J90,J243),0)*'[1]Electricity and CHPs_IN'!F$49</f>
        <v>2.1314006130076495E-2</v>
      </c>
      <c r="K318" s="1">
        <f>IFERROR(K90/SUM(K90,K243),0)*'[1]Electricity and CHPs_IN'!G$49</f>
        <v>1.7606473373063689E-2</v>
      </c>
    </row>
    <row r="319" spans="1:11" x14ac:dyDescent="0.3">
      <c r="A319" s="5" t="s">
        <v>5</v>
      </c>
      <c r="B319" s="5" t="str">
        <f t="shared" si="170"/>
        <v>SPS3</v>
      </c>
      <c r="C319" s="5" t="s">
        <v>7</v>
      </c>
      <c r="D319" t="s">
        <v>108</v>
      </c>
      <c r="E319" t="str">
        <f t="shared" si="163"/>
        <v>PJ/yr.</v>
      </c>
      <c r="F319" s="1">
        <f>IFERROR(F91/SUM(F91,F244),0)*'[1]Electricity and CHPs_IN'!B$51</f>
        <v>5.4383106102369558E-2</v>
      </c>
      <c r="G319" s="1">
        <f>IFERROR(G91/SUM(G91,G244),0)*'[1]Electricity and CHPs_IN'!C$51</f>
        <v>3.0187478600624804E-3</v>
      </c>
      <c r="H319" s="1">
        <f>IFERROR(H91/SUM(H91,H244),0)*'[1]Electricity and CHPs_IN'!D$51</f>
        <v>3.7352732979053935E-2</v>
      </c>
      <c r="I319" s="1">
        <f>IFERROR(I91/SUM(I91,I244),0)*'[1]Electricity and CHPs_IN'!E$51</f>
        <v>2.3954649866548776E-6</v>
      </c>
      <c r="J319" s="1">
        <f>IFERROR(J91/SUM(J91,J244),0)*'[1]Electricity and CHPs_IN'!F$51</f>
        <v>0.85080446948777577</v>
      </c>
      <c r="K319" s="1">
        <f>IFERROR(K91/SUM(K91,K244),0)*'[1]Electricity and CHPs_IN'!G$51</f>
        <v>0.62906253371560072</v>
      </c>
    </row>
    <row r="320" spans="1:11" x14ac:dyDescent="0.3">
      <c r="A320" s="5" t="s">
        <v>5</v>
      </c>
      <c r="B320" s="5" t="str">
        <f t="shared" si="170"/>
        <v>SPS3</v>
      </c>
      <c r="C320" s="5" t="s">
        <v>7</v>
      </c>
      <c r="D320" t="s">
        <v>109</v>
      </c>
      <c r="E320" t="str">
        <f t="shared" si="163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6.3024198358165029E-5</v>
      </c>
      <c r="J320" s="1">
        <f>IFERROR(J92/SUM(J92,J245),0)*'[1]Electricity and CHPs_IN'!F$52</f>
        <v>0.25412087087794411</v>
      </c>
      <c r="K320" s="1">
        <f>IFERROR(K92/SUM(K92,K245),0)*'[1]Electricity and CHPs_IN'!G$52</f>
        <v>0.23782064930376196</v>
      </c>
    </row>
    <row r="321" spans="1:11" x14ac:dyDescent="0.3">
      <c r="A321" s="5" t="s">
        <v>5</v>
      </c>
      <c r="B321" s="5" t="str">
        <f t="shared" si="170"/>
        <v>SPS3</v>
      </c>
      <c r="C321" s="5" t="s">
        <v>7</v>
      </c>
      <c r="D321" t="s">
        <v>110</v>
      </c>
      <c r="E321" t="str">
        <f t="shared" si="163"/>
        <v>PJ/yr.</v>
      </c>
      <c r="F321" s="1">
        <f>IFERROR(F93/SUM(F93,F246),0)*'[1]Electricity and CHPs_IN'!B$54</f>
        <v>1.0647110158556439</v>
      </c>
      <c r="G321" s="1">
        <f>IFERROR(G93/SUM(G93,G246),0)*'[1]Electricity and CHPs_IN'!C$54</f>
        <v>1.2560390106406716</v>
      </c>
      <c r="H321" s="1">
        <f>IFERROR(H93/SUM(H93,H246),0)*'[1]Electricity and CHPs_IN'!D$54</f>
        <v>1.3042895798656904</v>
      </c>
      <c r="I321" s="1">
        <f>IFERROR(I93/SUM(I93,I246),0)*'[1]Electricity and CHPs_IN'!E$54</f>
        <v>1.380066954733969</v>
      </c>
      <c r="J321" s="1">
        <f>IFERROR(J93/SUM(J93,J246),0)*'[1]Electricity and CHPs_IN'!F$54</f>
        <v>2.5745930859057569</v>
      </c>
      <c r="K321" s="1">
        <f>IFERROR(K93/SUM(K93,K246),0)*'[1]Electricity and CHPs_IN'!G$54</f>
        <v>2.4920586504015874</v>
      </c>
    </row>
    <row r="322" spans="1:11" x14ac:dyDescent="0.3">
      <c r="A322" s="5" t="s">
        <v>5</v>
      </c>
      <c r="B322" s="5" t="str">
        <f t="shared" si="170"/>
        <v>SPS3</v>
      </c>
      <c r="C322" s="5" t="s">
        <v>7</v>
      </c>
      <c r="D322" t="s">
        <v>111</v>
      </c>
      <c r="E322" t="str">
        <f t="shared" si="163"/>
        <v>PJ/yr.</v>
      </c>
      <c r="F322" s="1">
        <f>IFERROR(F94/SUM(F94,F247),0)*'[1]Electricity and CHPs_IN'!B$55</f>
        <v>0.83750606787097615</v>
      </c>
      <c r="G322" s="1">
        <f>IFERROR(G94/SUM(G94,G247),0)*'[1]Electricity and CHPs_IN'!C$55</f>
        <v>0.79148993073826313</v>
      </c>
      <c r="H322" s="1">
        <f>IFERROR(H94/SUM(H94,H247),0)*'[1]Electricity and CHPs_IN'!D$55</f>
        <v>4.6013738582749805E-2</v>
      </c>
      <c r="I322" s="1">
        <f>IFERROR(I94/SUM(I94,I247),0)*'[1]Electricity and CHPs_IN'!E$55</f>
        <v>1.4562840520242156E-5</v>
      </c>
      <c r="J322" s="1">
        <f>IFERROR(J94/SUM(J94,J247),0)*'[1]Electricity and CHPs_IN'!F$55</f>
        <v>3.2537770836809843</v>
      </c>
      <c r="K322" s="1">
        <f>IFERROR(K94/SUM(K94,K247),0)*'[1]Electricity and CHPs_IN'!G$55</f>
        <v>3.8082721718846317E-3</v>
      </c>
    </row>
    <row r="323" spans="1:11" x14ac:dyDescent="0.3">
      <c r="A323" s="5" t="s">
        <v>5</v>
      </c>
      <c r="B323" s="5" t="str">
        <f t="shared" si="170"/>
        <v>SPS3</v>
      </c>
      <c r="C323" s="5" t="s">
        <v>7</v>
      </c>
      <c r="D323" t="s">
        <v>112</v>
      </c>
      <c r="E323" t="str">
        <f t="shared" si="163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4.3412070179569144E-5</v>
      </c>
      <c r="J323" s="1">
        <f>IFERROR(J95/SUM(J95,J248),0)*'[1]Electricity and CHPs_IN'!F$58</f>
        <v>0.10518661171396793</v>
      </c>
      <c r="K323" s="1">
        <f>IFERROR(K95/SUM(K95,K248),0)*'[1]Electricity and CHPs_IN'!G$58</f>
        <v>4.2938155685991262E-2</v>
      </c>
    </row>
    <row r="324" spans="1:11" x14ac:dyDescent="0.3">
      <c r="A324" s="5" t="s">
        <v>5</v>
      </c>
      <c r="B324" s="5" t="str">
        <f t="shared" si="170"/>
        <v>SPS3</v>
      </c>
      <c r="C324" s="5" t="s">
        <v>7</v>
      </c>
      <c r="D324" t="s">
        <v>852</v>
      </c>
      <c r="E324" t="str">
        <f t="shared" si="163"/>
        <v>PJ/yr.</v>
      </c>
      <c r="F324" s="1">
        <f>F308-F340</f>
        <v>3.0935072666882548</v>
      </c>
      <c r="G324" s="1">
        <f t="shared" ref="G324:K324" si="172">G308-G340</f>
        <v>0.90712445860625035</v>
      </c>
      <c r="H324" s="1">
        <f t="shared" si="172"/>
        <v>0.1539914181269284</v>
      </c>
      <c r="I324" s="1">
        <f t="shared" si="172"/>
        <v>3.1745332122045999E-2</v>
      </c>
      <c r="J324" s="1">
        <f t="shared" si="172"/>
        <v>4.7348849693622403</v>
      </c>
      <c r="K324" s="1">
        <f t="shared" si="172"/>
        <v>2.0985795410836534</v>
      </c>
    </row>
    <row r="325" spans="1:11" x14ac:dyDescent="0.3">
      <c r="A325" s="5" t="s">
        <v>5</v>
      </c>
      <c r="B325" s="5" t="str">
        <f t="shared" si="170"/>
        <v>SPS3</v>
      </c>
      <c r="C325" s="5" t="s">
        <v>7</v>
      </c>
      <c r="D325" t="s">
        <v>579</v>
      </c>
      <c r="E325" t="str">
        <f t="shared" si="163"/>
        <v>PJ/yr.</v>
      </c>
      <c r="F325" s="1">
        <f>IFERROR(F97/F81,0)*F309</f>
        <v>0</v>
      </c>
      <c r="G325" s="1">
        <f t="shared" ref="G325:K325" si="173">IFERROR(G97/G81,0)*G309</f>
        <v>0</v>
      </c>
      <c r="H325" s="1">
        <f t="shared" si="173"/>
        <v>0</v>
      </c>
      <c r="I325" s="1">
        <f t="shared" si="173"/>
        <v>0</v>
      </c>
      <c r="J325" s="1">
        <f t="shared" si="173"/>
        <v>0.41324947768130038</v>
      </c>
      <c r="K325" s="1">
        <f t="shared" si="173"/>
        <v>7.4262108323745815E-3</v>
      </c>
    </row>
    <row r="326" spans="1:11" x14ac:dyDescent="0.3">
      <c r="A326" s="5" t="s">
        <v>5</v>
      </c>
      <c r="B326" s="5" t="str">
        <f t="shared" si="170"/>
        <v>SPS3</v>
      </c>
      <c r="C326" s="5" t="s">
        <v>7</v>
      </c>
      <c r="D326" t="s">
        <v>580</v>
      </c>
      <c r="E326" t="str">
        <f t="shared" si="163"/>
        <v>PJ/yr.</v>
      </c>
      <c r="F326" s="1">
        <f t="shared" ref="F326:K326" si="174">IFERROR(F98/F82,0)*F310</f>
        <v>0</v>
      </c>
      <c r="G326" s="1">
        <f t="shared" si="174"/>
        <v>0</v>
      </c>
      <c r="H326" s="1">
        <f t="shared" si="174"/>
        <v>0</v>
      </c>
      <c r="I326" s="1">
        <f t="shared" si="174"/>
        <v>3.867242852748514E-4</v>
      </c>
      <c r="J326" s="1">
        <f t="shared" si="174"/>
        <v>0.23356933196935578</v>
      </c>
      <c r="K326" s="1">
        <f t="shared" si="174"/>
        <v>1.6005460725351986E-2</v>
      </c>
    </row>
    <row r="327" spans="1:11" x14ac:dyDescent="0.3">
      <c r="A327" s="5" t="s">
        <v>5</v>
      </c>
      <c r="B327" s="5" t="str">
        <f t="shared" si="170"/>
        <v>SPS3</v>
      </c>
      <c r="C327" s="5" t="s">
        <v>7</v>
      </c>
      <c r="D327" t="s">
        <v>581</v>
      </c>
      <c r="E327" t="str">
        <f t="shared" si="163"/>
        <v>PJ/yr.</v>
      </c>
      <c r="F327" s="1">
        <f t="shared" ref="F327:K327" si="175">IFERROR(F99/F83,0)*F311</f>
        <v>0</v>
      </c>
      <c r="G327" s="1">
        <f t="shared" si="175"/>
        <v>0</v>
      </c>
      <c r="H327" s="1">
        <f t="shared" si="175"/>
        <v>0</v>
      </c>
      <c r="I327" s="1">
        <f t="shared" si="175"/>
        <v>0</v>
      </c>
      <c r="J327" s="1">
        <f t="shared" si="175"/>
        <v>3.1451194250640628E-2</v>
      </c>
      <c r="K327" s="1">
        <f t="shared" si="175"/>
        <v>1.8161703339722974</v>
      </c>
    </row>
    <row r="328" spans="1:11" x14ac:dyDescent="0.3">
      <c r="A328" s="5" t="s">
        <v>5</v>
      </c>
      <c r="B328" s="5" t="str">
        <f t="shared" si="170"/>
        <v>SPS3</v>
      </c>
      <c r="C328" s="5" t="s">
        <v>7</v>
      </c>
      <c r="D328" t="s">
        <v>582</v>
      </c>
      <c r="E328" t="str">
        <f t="shared" si="163"/>
        <v>PJ/yr.</v>
      </c>
      <c r="F328" s="1">
        <f t="shared" ref="F328:K328" si="176">IFERROR(F100/F84,0)*F312</f>
        <v>1.3102879196630479</v>
      </c>
      <c r="G328" s="1">
        <f t="shared" si="176"/>
        <v>1.3960474137070613E-3</v>
      </c>
      <c r="H328" s="1">
        <f t="shared" si="176"/>
        <v>1.3921719419389536E-2</v>
      </c>
      <c r="I328" s="1">
        <f t="shared" si="176"/>
        <v>1.8913751040035742E-4</v>
      </c>
      <c r="J328" s="1">
        <f t="shared" si="176"/>
        <v>4.4714039280069366E-3</v>
      </c>
      <c r="K328" s="1">
        <f t="shared" si="176"/>
        <v>9.1069802887701595E-4</v>
      </c>
    </row>
    <row r="329" spans="1:11" x14ac:dyDescent="0.3">
      <c r="A329" s="5" t="s">
        <v>5</v>
      </c>
      <c r="B329" s="5" t="str">
        <f t="shared" si="170"/>
        <v>SPS3</v>
      </c>
      <c r="C329" s="5" t="s">
        <v>7</v>
      </c>
      <c r="D329" t="s">
        <v>583</v>
      </c>
      <c r="E329" t="str">
        <f t="shared" si="163"/>
        <v>PJ/yr.</v>
      </c>
      <c r="F329" s="1">
        <f t="shared" ref="F329:K329" si="177">IFERROR(F101/F85,0)*F313</f>
        <v>0</v>
      </c>
      <c r="G329" s="1">
        <f t="shared" si="177"/>
        <v>0</v>
      </c>
      <c r="H329" s="1">
        <f t="shared" si="177"/>
        <v>0</v>
      </c>
      <c r="I329" s="1">
        <f t="shared" si="177"/>
        <v>0</v>
      </c>
      <c r="J329" s="1">
        <f t="shared" si="177"/>
        <v>8.674094669017151E-3</v>
      </c>
      <c r="K329" s="1">
        <f t="shared" si="177"/>
        <v>2.4588180381610388E-3</v>
      </c>
    </row>
    <row r="330" spans="1:11" x14ac:dyDescent="0.3">
      <c r="A330" s="5" t="s">
        <v>5</v>
      </c>
      <c r="B330" s="5" t="str">
        <f t="shared" si="170"/>
        <v>SPS3</v>
      </c>
      <c r="C330" s="5" t="s">
        <v>7</v>
      </c>
      <c r="D330" t="s">
        <v>584</v>
      </c>
      <c r="E330" t="str">
        <f t="shared" si="163"/>
        <v>PJ/yr.</v>
      </c>
      <c r="F330" s="1">
        <f t="shared" ref="F330:K330" si="178">IFERROR(F102/F86,0)*F314</f>
        <v>0.87019854531567975</v>
      </c>
      <c r="G330" s="1">
        <f t="shared" si="178"/>
        <v>0.119267017373326</v>
      </c>
      <c r="H330" s="1">
        <f t="shared" si="178"/>
        <v>5.6328195424382478E-2</v>
      </c>
      <c r="I330" s="1">
        <f t="shared" si="178"/>
        <v>3.0977607042570531E-2</v>
      </c>
      <c r="J330" s="1">
        <f t="shared" si="178"/>
        <v>4.2409739692506061E-2</v>
      </c>
      <c r="K330" s="1">
        <f t="shared" si="178"/>
        <v>1.9901420771885336E-2</v>
      </c>
    </row>
    <row r="331" spans="1:11" x14ac:dyDescent="0.3">
      <c r="A331" s="5" t="s">
        <v>5</v>
      </c>
      <c r="B331" s="5" t="str">
        <f t="shared" si="170"/>
        <v>SPS3</v>
      </c>
      <c r="C331" s="5" t="s">
        <v>7</v>
      </c>
      <c r="D331" t="s">
        <v>585</v>
      </c>
      <c r="E331" t="str">
        <f t="shared" si="163"/>
        <v>PJ/yr.</v>
      </c>
      <c r="F331" s="1">
        <f t="shared" ref="F331:K331" si="179">IFERROR(F103/F87,0)*F315</f>
        <v>0</v>
      </c>
      <c r="G331" s="1">
        <f t="shared" si="179"/>
        <v>0</v>
      </c>
      <c r="H331" s="1">
        <f t="shared" si="179"/>
        <v>0</v>
      </c>
      <c r="I331" s="1">
        <f t="shared" si="179"/>
        <v>0</v>
      </c>
      <c r="J331" s="1">
        <f t="shared" si="179"/>
        <v>8.9142732571244072E-3</v>
      </c>
      <c r="K331" s="1">
        <f t="shared" si="179"/>
        <v>7.8242147235216934E-3</v>
      </c>
    </row>
    <row r="332" spans="1:11" x14ac:dyDescent="0.3">
      <c r="A332" s="5" t="s">
        <v>5</v>
      </c>
      <c r="B332" s="5" t="str">
        <f t="shared" si="170"/>
        <v>SPS3</v>
      </c>
      <c r="C332" s="5" t="s">
        <v>7</v>
      </c>
      <c r="D332" t="s">
        <v>586</v>
      </c>
      <c r="E332" t="str">
        <f t="shared" si="163"/>
        <v>PJ/yr.</v>
      </c>
      <c r="F332" s="1">
        <f t="shared" ref="F332:K332" si="180">IFERROR(F104/F88,0)*F316</f>
        <v>0</v>
      </c>
      <c r="G332" s="1">
        <f t="shared" si="180"/>
        <v>0</v>
      </c>
      <c r="H332" s="1">
        <f t="shared" si="180"/>
        <v>0</v>
      </c>
      <c r="I332" s="1">
        <f t="shared" si="180"/>
        <v>0</v>
      </c>
      <c r="J332" s="1">
        <f t="shared" si="180"/>
        <v>0</v>
      </c>
      <c r="K332" s="1">
        <f t="shared" si="180"/>
        <v>0</v>
      </c>
    </row>
    <row r="333" spans="1:11" x14ac:dyDescent="0.3">
      <c r="A333" s="5" t="s">
        <v>5</v>
      </c>
      <c r="B333" s="5" t="str">
        <f t="shared" si="170"/>
        <v>SPS3</v>
      </c>
      <c r="C333" s="5" t="s">
        <v>7</v>
      </c>
      <c r="D333" t="s">
        <v>587</v>
      </c>
      <c r="E333" t="str">
        <f t="shared" si="163"/>
        <v>PJ/yr.</v>
      </c>
      <c r="F333" s="1">
        <f t="shared" ref="F333:K333" si="181">IFERROR(F105/F89,0)*F317</f>
        <v>4.4231633028291965E-2</v>
      </c>
      <c r="G333" s="1">
        <f t="shared" si="181"/>
        <v>2.450156865196815E-3</v>
      </c>
      <c r="H333" s="1">
        <f t="shared" si="181"/>
        <v>1.2674801795055774E-2</v>
      </c>
      <c r="I333" s="1">
        <f t="shared" si="181"/>
        <v>2.2389774574402165E-6</v>
      </c>
      <c r="J333" s="1">
        <f t="shared" si="181"/>
        <v>9.9826001642644747E-3</v>
      </c>
      <c r="K333" s="1">
        <f t="shared" si="181"/>
        <v>3.4708476845841329E-3</v>
      </c>
    </row>
    <row r="334" spans="1:11" x14ac:dyDescent="0.3">
      <c r="A334" s="5" t="s">
        <v>5</v>
      </c>
      <c r="B334" s="5" t="str">
        <f t="shared" si="170"/>
        <v>SPS3</v>
      </c>
      <c r="C334" s="5" t="s">
        <v>7</v>
      </c>
      <c r="D334" t="s">
        <v>588</v>
      </c>
      <c r="E334" t="str">
        <f t="shared" si="163"/>
        <v>PJ/yr.</v>
      </c>
      <c r="F334" s="1">
        <f t="shared" ref="F334:K334" si="182">IFERROR(F106/F90,0)*F318</f>
        <v>0</v>
      </c>
      <c r="G334" s="1">
        <f t="shared" si="182"/>
        <v>0</v>
      </c>
      <c r="H334" s="1">
        <f t="shared" si="182"/>
        <v>0</v>
      </c>
      <c r="I334" s="1">
        <f t="shared" si="182"/>
        <v>6.6347355811029708E-5</v>
      </c>
      <c r="J334" s="1">
        <f t="shared" si="182"/>
        <v>1.8923523123272321E-2</v>
      </c>
      <c r="K334" s="1">
        <f t="shared" si="182"/>
        <v>4.2428507715863845E-3</v>
      </c>
    </row>
    <row r="335" spans="1:11" x14ac:dyDescent="0.3">
      <c r="A335" s="5" t="s">
        <v>5</v>
      </c>
      <c r="B335" s="5" t="str">
        <f t="shared" si="170"/>
        <v>SPS3</v>
      </c>
      <c r="C335" s="5" t="s">
        <v>7</v>
      </c>
      <c r="D335" t="s">
        <v>589</v>
      </c>
      <c r="E335" t="str">
        <f t="shared" si="163"/>
        <v>PJ/yr.</v>
      </c>
      <c r="F335" s="1">
        <f t="shared" ref="F335:K335" si="183">IFERROR(F107/F91,0)*F319</f>
        <v>5.2974579039338228E-2</v>
      </c>
      <c r="G335" s="1">
        <f t="shared" si="183"/>
        <v>2.9788626701916991E-3</v>
      </c>
      <c r="H335" s="1">
        <f t="shared" si="183"/>
        <v>3.1841764136787507E-2</v>
      </c>
      <c r="I335" s="1">
        <f t="shared" si="183"/>
        <v>2.3931815555684141E-6</v>
      </c>
      <c r="J335" s="1">
        <f t="shared" si="183"/>
        <v>0.7553820691182086</v>
      </c>
      <c r="K335" s="1">
        <f t="shared" si="183"/>
        <v>0.15159301922636473</v>
      </c>
    </row>
    <row r="336" spans="1:11" x14ac:dyDescent="0.3">
      <c r="A336" s="5" t="s">
        <v>5</v>
      </c>
      <c r="B336" s="5" t="str">
        <f t="shared" si="170"/>
        <v>SPS3</v>
      </c>
      <c r="C336" s="5" t="s">
        <v>7</v>
      </c>
      <c r="D336" t="s">
        <v>590</v>
      </c>
      <c r="E336" t="str">
        <f t="shared" si="163"/>
        <v>PJ/yr.</v>
      </c>
      <c r="F336" s="1">
        <f t="shared" ref="F336:K336" si="184">IFERROR(F108/F92,0)*F320</f>
        <v>0</v>
      </c>
      <c r="G336" s="1">
        <f t="shared" si="184"/>
        <v>0</v>
      </c>
      <c r="H336" s="1">
        <f t="shared" si="184"/>
        <v>0</v>
      </c>
      <c r="I336" s="1">
        <f t="shared" si="184"/>
        <v>6.2964121749017242E-5</v>
      </c>
      <c r="J336" s="1">
        <f t="shared" si="184"/>
        <v>0.22561981763620786</v>
      </c>
      <c r="K336" s="1">
        <f t="shared" si="184"/>
        <v>5.7310598438264054E-2</v>
      </c>
    </row>
    <row r="337" spans="1:11" x14ac:dyDescent="0.3">
      <c r="A337" s="5" t="s">
        <v>5</v>
      </c>
      <c r="B337" s="5" t="str">
        <f t="shared" si="170"/>
        <v>SPS3</v>
      </c>
      <c r="C337" s="5" t="s">
        <v>7</v>
      </c>
      <c r="D337" t="s">
        <v>591</v>
      </c>
      <c r="E337" t="str">
        <f t="shared" si="163"/>
        <v>PJ/yr.</v>
      </c>
      <c r="F337" s="1">
        <f t="shared" ref="F337:K337" si="185">IFERROR(F109/F93,0)*F321</f>
        <v>0</v>
      </c>
      <c r="G337" s="1">
        <f t="shared" si="185"/>
        <v>0</v>
      </c>
      <c r="H337" s="1">
        <f t="shared" si="185"/>
        <v>0</v>
      </c>
      <c r="I337" s="1">
        <f t="shared" si="185"/>
        <v>0</v>
      </c>
      <c r="J337" s="1">
        <f t="shared" si="185"/>
        <v>0</v>
      </c>
      <c r="K337" s="1">
        <f t="shared" si="185"/>
        <v>0</v>
      </c>
    </row>
    <row r="338" spans="1:11" x14ac:dyDescent="0.3">
      <c r="A338" s="5" t="s">
        <v>5</v>
      </c>
      <c r="B338" s="5" t="str">
        <f t="shared" si="170"/>
        <v>SPS3</v>
      </c>
      <c r="C338" s="5" t="s">
        <v>7</v>
      </c>
      <c r="D338" t="s">
        <v>592</v>
      </c>
      <c r="E338" t="str">
        <f t="shared" si="163"/>
        <v>PJ/yr.</v>
      </c>
      <c r="F338" s="1">
        <f t="shared" ref="F338:K338" si="186">IFERROR(F110/F94,0)*F322</f>
        <v>0.81581458964189735</v>
      </c>
      <c r="G338" s="1">
        <f t="shared" si="186"/>
        <v>0.78103237428382855</v>
      </c>
      <c r="H338" s="1">
        <f t="shared" si="186"/>
        <v>3.9224937351313133E-2</v>
      </c>
      <c r="I338" s="1">
        <f t="shared" si="186"/>
        <v>1.4548958771631183E-5</v>
      </c>
      <c r="J338" s="1">
        <f t="shared" si="186"/>
        <v>2.8888480891503665</v>
      </c>
      <c r="K338" s="1">
        <f t="shared" si="186"/>
        <v>9.1772668952612869E-4</v>
      </c>
    </row>
    <row r="339" spans="1:11" x14ac:dyDescent="0.3">
      <c r="A339" s="5" t="s">
        <v>5</v>
      </c>
      <c r="B339" s="5" t="str">
        <f t="shared" si="170"/>
        <v>SPS3</v>
      </c>
      <c r="C339" s="5" t="s">
        <v>7</v>
      </c>
      <c r="D339" t="s">
        <v>593</v>
      </c>
      <c r="E339" t="str">
        <f t="shared" si="163"/>
        <v>PJ/yr.</v>
      </c>
      <c r="F339" s="1">
        <f t="shared" ref="F339:K339" si="187">IFERROR(F111/F95,0)*F323</f>
        <v>0</v>
      </c>
      <c r="G339" s="1">
        <f t="shared" si="187"/>
        <v>0</v>
      </c>
      <c r="H339" s="1">
        <f t="shared" si="187"/>
        <v>0</v>
      </c>
      <c r="I339" s="1">
        <f t="shared" si="187"/>
        <v>4.3370688455716779E-5</v>
      </c>
      <c r="J339" s="1">
        <f t="shared" si="187"/>
        <v>9.3389354721969173E-2</v>
      </c>
      <c r="K339" s="1">
        <f t="shared" si="187"/>
        <v>1.0347341180859282E-2</v>
      </c>
    </row>
    <row r="340" spans="1:11" x14ac:dyDescent="0.3">
      <c r="A340" s="5" t="s">
        <v>5</v>
      </c>
      <c r="B340" s="5" t="str">
        <f t="shared" si="170"/>
        <v>SPS3</v>
      </c>
      <c r="C340" s="5" t="s">
        <v>7</v>
      </c>
      <c r="D340" t="s">
        <v>853</v>
      </c>
      <c r="E340" t="str">
        <f t="shared" si="163"/>
        <v>PJ/yr.</v>
      </c>
      <c r="F340" s="1">
        <f>SUM(F341:F355)</f>
        <v>1.1469634619124371</v>
      </c>
      <c r="G340" s="1">
        <f t="shared" ref="G340:K340" si="188">SUM(G341:G355)</f>
        <v>1.2681848647043674</v>
      </c>
      <c r="H340" s="1">
        <f t="shared" si="188"/>
        <v>1.3309414294186324</v>
      </c>
      <c r="I340" s="1">
        <f t="shared" si="188"/>
        <v>1.3800972442362631</v>
      </c>
      <c r="J340" s="1">
        <f t="shared" si="188"/>
        <v>3.1727196601541401</v>
      </c>
      <c r="K340" s="1">
        <f t="shared" si="188"/>
        <v>9.1019128489119936</v>
      </c>
    </row>
    <row r="341" spans="1:11" x14ac:dyDescent="0.3">
      <c r="A341" s="5" t="s">
        <v>5</v>
      </c>
      <c r="B341" s="5" t="str">
        <f t="shared" si="170"/>
        <v>SPS3</v>
      </c>
      <c r="C341" s="5" t="s">
        <v>7</v>
      </c>
      <c r="D341" t="s">
        <v>640</v>
      </c>
      <c r="E341" t="str">
        <f t="shared" si="163"/>
        <v>PJ/yr.</v>
      </c>
      <c r="F341" s="1">
        <f>F309-F325</f>
        <v>0</v>
      </c>
      <c r="G341" s="1">
        <f t="shared" ref="G341:K341" si="189">G309-G325</f>
        <v>0</v>
      </c>
      <c r="H341" s="1">
        <f t="shared" si="189"/>
        <v>0</v>
      </c>
      <c r="I341" s="1">
        <f t="shared" si="189"/>
        <v>0</v>
      </c>
      <c r="J341" s="1">
        <f t="shared" si="189"/>
        <v>5.2203062164093705E-2</v>
      </c>
      <c r="K341" s="1">
        <f t="shared" si="189"/>
        <v>2.3390188405271368E-2</v>
      </c>
    </row>
    <row r="342" spans="1:11" x14ac:dyDescent="0.3">
      <c r="A342" s="5" t="s">
        <v>5</v>
      </c>
      <c r="B342" s="5" t="str">
        <f t="shared" si="170"/>
        <v>SPS3</v>
      </c>
      <c r="C342" s="5" t="s">
        <v>7</v>
      </c>
      <c r="D342" t="s">
        <v>641</v>
      </c>
      <c r="E342" t="str">
        <f t="shared" si="163"/>
        <v>PJ/yr.</v>
      </c>
      <c r="F342" s="1">
        <f t="shared" ref="F342:K342" si="190">F310-F326</f>
        <v>0</v>
      </c>
      <c r="G342" s="1">
        <f t="shared" si="190"/>
        <v>0</v>
      </c>
      <c r="H342" s="1">
        <f t="shared" si="190"/>
        <v>0</v>
      </c>
      <c r="I342" s="1">
        <f t="shared" si="190"/>
        <v>3.6898924481187402E-7</v>
      </c>
      <c r="J342" s="1">
        <f t="shared" si="190"/>
        <v>2.9505262595456744E-2</v>
      </c>
      <c r="K342" s="1">
        <f t="shared" si="190"/>
        <v>5.0412080983088234E-2</v>
      </c>
    </row>
    <row r="343" spans="1:11" x14ac:dyDescent="0.3">
      <c r="A343" s="5" t="s">
        <v>5</v>
      </c>
      <c r="B343" s="5" t="str">
        <f t="shared" si="170"/>
        <v>SPS3</v>
      </c>
      <c r="C343" s="5" t="s">
        <v>7</v>
      </c>
      <c r="D343" t="s">
        <v>642</v>
      </c>
      <c r="E343" t="str">
        <f t="shared" si="163"/>
        <v>PJ/yr.</v>
      </c>
      <c r="F343" s="1">
        <f t="shared" ref="F343:K343" si="191">F311-F327</f>
        <v>0</v>
      </c>
      <c r="G343" s="1">
        <f t="shared" si="191"/>
        <v>0</v>
      </c>
      <c r="H343" s="1">
        <f t="shared" si="191"/>
        <v>0</v>
      </c>
      <c r="I343" s="1">
        <f t="shared" si="191"/>
        <v>0</v>
      </c>
      <c r="J343" s="1">
        <f t="shared" si="191"/>
        <v>3.9730205052246337E-3</v>
      </c>
      <c r="K343" s="1">
        <f t="shared" si="191"/>
        <v>5.720355541547856</v>
      </c>
    </row>
    <row r="344" spans="1:11" x14ac:dyDescent="0.3">
      <c r="A344" s="5" t="s">
        <v>5</v>
      </c>
      <c r="B344" s="5" t="str">
        <f t="shared" si="170"/>
        <v>SPS3</v>
      </c>
      <c r="C344" s="5" t="s">
        <v>7</v>
      </c>
      <c r="D344" t="s">
        <v>643</v>
      </c>
      <c r="E344" t="str">
        <f t="shared" si="163"/>
        <v>PJ/yr.</v>
      </c>
      <c r="F344" s="1">
        <f t="shared" ref="F344:K344" si="192">F312-F328</f>
        <v>3.4838898744960822E-2</v>
      </c>
      <c r="G344" s="1">
        <f t="shared" si="192"/>
        <v>1.8692240069172498E-5</v>
      </c>
      <c r="H344" s="1">
        <f t="shared" si="192"/>
        <v>2.4094821386605354E-3</v>
      </c>
      <c r="I344" s="1">
        <f t="shared" si="192"/>
        <v>1.8046373032569321E-7</v>
      </c>
      <c r="J344" s="1">
        <f t="shared" si="192"/>
        <v>5.6484276404708284E-4</v>
      </c>
      <c r="K344" s="1">
        <f t="shared" si="192"/>
        <v>2.8684074498503565E-3</v>
      </c>
    </row>
    <row r="345" spans="1:11" x14ac:dyDescent="0.3">
      <c r="A345" s="5" t="s">
        <v>5</v>
      </c>
      <c r="B345" s="5" t="str">
        <f t="shared" si="170"/>
        <v>SPS3</v>
      </c>
      <c r="C345" s="5" t="s">
        <v>7</v>
      </c>
      <c r="D345" t="s">
        <v>644</v>
      </c>
      <c r="E345" t="str">
        <f t="shared" si="163"/>
        <v>PJ/yr.</v>
      </c>
      <c r="F345" s="1">
        <f t="shared" ref="F345:K345" si="193">F313-F329</f>
        <v>0</v>
      </c>
      <c r="G345" s="1">
        <f t="shared" si="193"/>
        <v>0</v>
      </c>
      <c r="H345" s="1">
        <f t="shared" si="193"/>
        <v>0</v>
      </c>
      <c r="I345" s="1">
        <f t="shared" si="193"/>
        <v>0</v>
      </c>
      <c r="J345" s="1">
        <f t="shared" si="193"/>
        <v>1.0957407756801776E-3</v>
      </c>
      <c r="K345" s="1">
        <f t="shared" si="193"/>
        <v>7.7444902205229347E-3</v>
      </c>
    </row>
    <row r="346" spans="1:11" x14ac:dyDescent="0.3">
      <c r="A346" s="5" t="s">
        <v>5</v>
      </c>
      <c r="B346" s="5" t="str">
        <f t="shared" si="170"/>
        <v>SPS3</v>
      </c>
      <c r="C346" s="5" t="s">
        <v>7</v>
      </c>
      <c r="D346" t="s">
        <v>645</v>
      </c>
      <c r="E346" t="str">
        <f t="shared" si="163"/>
        <v>PJ/yr.</v>
      </c>
      <c r="F346" s="1">
        <f t="shared" ref="F346:K346" si="194">F314-F330</f>
        <v>2.3137478834469705E-2</v>
      </c>
      <c r="G346" s="1">
        <f t="shared" si="194"/>
        <v>1.5969140440269952E-3</v>
      </c>
      <c r="H346" s="1">
        <f t="shared" si="194"/>
        <v>9.7489237276972077E-3</v>
      </c>
      <c r="I346" s="1">
        <f t="shared" si="194"/>
        <v>2.9556984818251281E-5</v>
      </c>
      <c r="J346" s="1">
        <f t="shared" si="194"/>
        <v>5.3573407762134151E-3</v>
      </c>
      <c r="K346" s="1">
        <f t="shared" si="194"/>
        <v>6.2683108774348253E-2</v>
      </c>
    </row>
    <row r="347" spans="1:11" x14ac:dyDescent="0.3">
      <c r="A347" s="5" t="s">
        <v>5</v>
      </c>
      <c r="B347" s="5" t="str">
        <f t="shared" si="170"/>
        <v>SPS3</v>
      </c>
      <c r="C347" s="5" t="s">
        <v>7</v>
      </c>
      <c r="D347" t="s">
        <v>646</v>
      </c>
      <c r="E347" t="str">
        <f t="shared" si="163"/>
        <v>PJ/yr.</v>
      </c>
      <c r="F347" s="1">
        <f t="shared" ref="F347:K347" si="195">F315-F331</f>
        <v>0</v>
      </c>
      <c r="G347" s="1">
        <f t="shared" si="195"/>
        <v>0</v>
      </c>
      <c r="H347" s="1">
        <f t="shared" si="195"/>
        <v>0</v>
      </c>
      <c r="I347" s="1">
        <f t="shared" si="195"/>
        <v>0</v>
      </c>
      <c r="J347" s="1">
        <f t="shared" si="195"/>
        <v>1.1260809417120779E-3</v>
      </c>
      <c r="K347" s="1">
        <f t="shared" si="195"/>
        <v>2.4643773337088514E-2</v>
      </c>
    </row>
    <row r="348" spans="1:11" x14ac:dyDescent="0.3">
      <c r="A348" s="5" t="s">
        <v>5</v>
      </c>
      <c r="B348" s="5" t="str">
        <f t="shared" si="170"/>
        <v>SPS3</v>
      </c>
      <c r="C348" s="5" t="s">
        <v>7</v>
      </c>
      <c r="D348" t="s">
        <v>647</v>
      </c>
      <c r="E348" t="str">
        <f t="shared" si="163"/>
        <v>PJ/yr.</v>
      </c>
      <c r="F348" s="1">
        <f t="shared" ref="F348:K348" si="196">F316-F332</f>
        <v>0</v>
      </c>
      <c r="G348" s="1">
        <f t="shared" si="196"/>
        <v>0</v>
      </c>
      <c r="H348" s="1">
        <f t="shared" si="196"/>
        <v>0</v>
      </c>
      <c r="I348" s="1">
        <f t="shared" si="196"/>
        <v>0</v>
      </c>
      <c r="J348" s="1">
        <f t="shared" si="196"/>
        <v>0</v>
      </c>
      <c r="K348" s="1">
        <f t="shared" si="196"/>
        <v>0</v>
      </c>
    </row>
    <row r="349" spans="1:11" x14ac:dyDescent="0.3">
      <c r="A349" s="5" t="s">
        <v>5</v>
      </c>
      <c r="B349" s="5" t="str">
        <f t="shared" si="170"/>
        <v>SPS3</v>
      </c>
      <c r="C349" s="5" t="s">
        <v>7</v>
      </c>
      <c r="D349" t="s">
        <v>648</v>
      </c>
      <c r="E349" t="str">
        <f t="shared" si="163"/>
        <v>PJ/yr.</v>
      </c>
      <c r="F349" s="1">
        <f t="shared" ref="F349:K349" si="197">F317-F333</f>
        <v>1.1760631852526029E-3</v>
      </c>
      <c r="G349" s="1">
        <f t="shared" si="197"/>
        <v>3.280613529434151E-5</v>
      </c>
      <c r="H349" s="1">
        <f t="shared" si="197"/>
        <v>2.1936736128811106E-3</v>
      </c>
      <c r="I349" s="1">
        <f t="shared" si="197"/>
        <v>2.1362987343416813E-9</v>
      </c>
      <c r="J349" s="1">
        <f t="shared" si="197"/>
        <v>1.2610355852313553E-3</v>
      </c>
      <c r="K349" s="1">
        <f t="shared" si="197"/>
        <v>1.0932059848678401E-2</v>
      </c>
    </row>
    <row r="350" spans="1:11" x14ac:dyDescent="0.3">
      <c r="A350" s="5" t="s">
        <v>5</v>
      </c>
      <c r="B350" s="5" t="str">
        <f t="shared" si="170"/>
        <v>SPS3</v>
      </c>
      <c r="C350" s="5" t="s">
        <v>7</v>
      </c>
      <c r="D350" t="s">
        <v>649</v>
      </c>
      <c r="E350" t="str">
        <f t="shared" si="163"/>
        <v>PJ/yr.</v>
      </c>
      <c r="F350" s="1">
        <f t="shared" ref="F350:K350" si="198">F318-F334</f>
        <v>0</v>
      </c>
      <c r="G350" s="1">
        <f t="shared" si="198"/>
        <v>0</v>
      </c>
      <c r="H350" s="1">
        <f t="shared" si="198"/>
        <v>0</v>
      </c>
      <c r="I350" s="1">
        <f t="shared" si="198"/>
        <v>6.3304689279018007E-8</v>
      </c>
      <c r="J350" s="1">
        <f t="shared" si="198"/>
        <v>2.3904830068041741E-3</v>
      </c>
      <c r="K350" s="1">
        <f t="shared" si="198"/>
        <v>1.3363622601477304E-2</v>
      </c>
    </row>
    <row r="351" spans="1:11" x14ac:dyDescent="0.3">
      <c r="A351" s="5" t="s">
        <v>5</v>
      </c>
      <c r="B351" s="5" t="str">
        <f t="shared" si="170"/>
        <v>SPS3</v>
      </c>
      <c r="C351" s="5" t="s">
        <v>7</v>
      </c>
      <c r="D351" t="s">
        <v>650</v>
      </c>
      <c r="E351" t="str">
        <f t="shared" si="163"/>
        <v>PJ/yr.</v>
      </c>
      <c r="F351" s="1">
        <f t="shared" ref="F351:K351" si="199">F319-F335</f>
        <v>1.4085270630313299E-3</v>
      </c>
      <c r="G351" s="1">
        <f t="shared" si="199"/>
        <v>3.9885189870781344E-5</v>
      </c>
      <c r="H351" s="1">
        <f t="shared" si="199"/>
        <v>5.5109688422664282E-3</v>
      </c>
      <c r="I351" s="1">
        <f t="shared" si="199"/>
        <v>2.2834310864635315E-9</v>
      </c>
      <c r="J351" s="1">
        <f t="shared" si="199"/>
        <v>9.5422400369567173E-2</v>
      </c>
      <c r="K351" s="1">
        <f t="shared" si="199"/>
        <v>0.47746951448923602</v>
      </c>
    </row>
    <row r="352" spans="1:11" x14ac:dyDescent="0.3">
      <c r="A352" s="5" t="s">
        <v>5</v>
      </c>
      <c r="B352" s="5" t="str">
        <f t="shared" si="170"/>
        <v>SPS3</v>
      </c>
      <c r="C352" s="5" t="s">
        <v>7</v>
      </c>
      <c r="D352" t="s">
        <v>651</v>
      </c>
      <c r="E352" t="str">
        <f t="shared" si="163"/>
        <v>PJ/yr.</v>
      </c>
      <c r="F352" s="1">
        <f t="shared" ref="F352:K352" si="200">F320-F336</f>
        <v>0</v>
      </c>
      <c r="G352" s="1">
        <f t="shared" si="200"/>
        <v>0</v>
      </c>
      <c r="H352" s="1">
        <f t="shared" si="200"/>
        <v>0</v>
      </c>
      <c r="I352" s="1">
        <f t="shared" si="200"/>
        <v>6.0076609147786736E-8</v>
      </c>
      <c r="J352" s="1">
        <f t="shared" si="200"/>
        <v>2.8501053241736241E-2</v>
      </c>
      <c r="K352" s="1">
        <f t="shared" si="200"/>
        <v>0.1805100508654979</v>
      </c>
    </row>
    <row r="353" spans="1:15" x14ac:dyDescent="0.3">
      <c r="A353" s="5" t="s">
        <v>5</v>
      </c>
      <c r="B353" s="5" t="str">
        <f t="shared" si="170"/>
        <v>SPS3</v>
      </c>
      <c r="C353" s="5" t="s">
        <v>7</v>
      </c>
      <c r="D353" t="s">
        <v>652</v>
      </c>
      <c r="E353" t="str">
        <f t="shared" si="163"/>
        <v>PJ/yr.</v>
      </c>
      <c r="F353" s="1">
        <f t="shared" ref="F353:K353" si="201">F321-F337</f>
        <v>1.0647110158556439</v>
      </c>
      <c r="G353" s="1">
        <f t="shared" si="201"/>
        <v>1.2560390106406716</v>
      </c>
      <c r="H353" s="1">
        <f t="shared" si="201"/>
        <v>1.3042895798656904</v>
      </c>
      <c r="I353" s="1">
        <f t="shared" si="201"/>
        <v>1.380066954733969</v>
      </c>
      <c r="J353" s="1">
        <f t="shared" si="201"/>
        <v>2.5745930859057569</v>
      </c>
      <c r="K353" s="1">
        <f t="shared" si="201"/>
        <v>2.4920586504015874</v>
      </c>
    </row>
    <row r="354" spans="1:15" x14ac:dyDescent="0.3">
      <c r="A354" s="5" t="s">
        <v>5</v>
      </c>
      <c r="B354" s="5" t="str">
        <f t="shared" si="170"/>
        <v>SPS3</v>
      </c>
      <c r="C354" s="5" t="s">
        <v>7</v>
      </c>
      <c r="D354" t="s">
        <v>653</v>
      </c>
      <c r="E354" t="str">
        <f t="shared" si="163"/>
        <v>PJ/yr.</v>
      </c>
      <c r="F354" s="1">
        <f t="shared" ref="F354:K354" si="202">F322-F338</f>
        <v>2.1691478229078798E-2</v>
      </c>
      <c r="G354" s="1">
        <f t="shared" si="202"/>
        <v>1.045755645443458E-2</v>
      </c>
      <c r="H354" s="1">
        <f t="shared" si="202"/>
        <v>6.7888012314366725E-3</v>
      </c>
      <c r="I354" s="1">
        <f t="shared" si="202"/>
        <v>1.3881748610972757E-8</v>
      </c>
      <c r="J354" s="1">
        <f t="shared" si="202"/>
        <v>0.36492899453061778</v>
      </c>
      <c r="K354" s="1">
        <f t="shared" si="202"/>
        <v>2.890545482358503E-3</v>
      </c>
    </row>
    <row r="355" spans="1:15" x14ac:dyDescent="0.3">
      <c r="A355" s="5" t="s">
        <v>5</v>
      </c>
      <c r="B355" s="5" t="str">
        <f t="shared" si="170"/>
        <v>SPS3</v>
      </c>
      <c r="C355" s="5" t="s">
        <v>7</v>
      </c>
      <c r="D355" t="s">
        <v>654</v>
      </c>
      <c r="E355" t="str">
        <f t="shared" si="163"/>
        <v>PJ/yr.</v>
      </c>
      <c r="F355" s="1">
        <f t="shared" ref="F355:K355" si="203">F323-F339</f>
        <v>0</v>
      </c>
      <c r="G355" s="1">
        <f t="shared" si="203"/>
        <v>0</v>
      </c>
      <c r="H355" s="1">
        <f t="shared" si="203"/>
        <v>0</v>
      </c>
      <c r="I355" s="1">
        <f t="shared" si="203"/>
        <v>4.138172385236504E-8</v>
      </c>
      <c r="J355" s="1">
        <f t="shared" si="203"/>
        <v>1.1797256991998753E-2</v>
      </c>
      <c r="K355" s="1">
        <f t="shared" si="203"/>
        <v>3.2590814505131981E-2</v>
      </c>
    </row>
    <row r="356" spans="1:15" x14ac:dyDescent="0.3">
      <c r="A356" s="5" t="s">
        <v>5</v>
      </c>
      <c r="B356" s="5" t="str">
        <f t="shared" si="170"/>
        <v>SPS3</v>
      </c>
      <c r="C356" s="5" t="s">
        <v>7</v>
      </c>
      <c r="D356" t="s">
        <v>854</v>
      </c>
      <c r="E356" t="str">
        <f t="shared" ref="E356:E406" si="204">E355</f>
        <v>PJ/yr.</v>
      </c>
      <c r="F356" s="1">
        <f>SUM(F357:F362)</f>
        <v>22.439149151792787</v>
      </c>
      <c r="G356" s="1">
        <f t="shared" ref="G356:K356" si="205">SUM(G357:G362)</f>
        <v>24.494648366903281</v>
      </c>
      <c r="H356" s="1">
        <f t="shared" si="205"/>
        <v>25.033075830823574</v>
      </c>
      <c r="I356" s="1">
        <f t="shared" si="205"/>
        <v>25.692058641438351</v>
      </c>
      <c r="J356" s="1">
        <f t="shared" si="205"/>
        <v>29.578709049560761</v>
      </c>
      <c r="K356" s="1">
        <f t="shared" si="205"/>
        <v>33.541033828242341</v>
      </c>
    </row>
    <row r="357" spans="1:15" x14ac:dyDescent="0.3">
      <c r="A357" s="5" t="s">
        <v>5</v>
      </c>
      <c r="B357" s="5" t="str">
        <f t="shared" si="170"/>
        <v>SPS3</v>
      </c>
      <c r="C357" s="5" t="s">
        <v>7</v>
      </c>
      <c r="D357" t="s">
        <v>113</v>
      </c>
      <c r="E357" t="str">
        <f t="shared" si="204"/>
        <v>PJ/yr.</v>
      </c>
      <c r="F357" s="1">
        <f>'[1]Electricity and CHPs_IN'!B$19</f>
        <v>18.203600855163153</v>
      </c>
      <c r="G357" s="1">
        <f>'[1]Electricity and CHPs_IN'!C$19</f>
        <v>20.429783714040656</v>
      </c>
      <c r="H357" s="1">
        <f>'[1]Electricity and CHPs_IN'!D$19</f>
        <v>20.734886851503806</v>
      </c>
      <c r="I357" s="1">
        <f>'[1]Electricity and CHPs_IN'!E$19</f>
        <v>20.982281412834805</v>
      </c>
      <c r="J357" s="1">
        <f>'[1]Electricity and CHPs_IN'!F$19</f>
        <v>22.586335846206609</v>
      </c>
      <c r="K357" s="1">
        <f>'[1]Electricity and CHPs_IN'!G$19</f>
        <v>13.018164546965663</v>
      </c>
      <c r="O357" s="1"/>
    </row>
    <row r="358" spans="1:15" x14ac:dyDescent="0.3">
      <c r="A358" s="5" t="s">
        <v>5</v>
      </c>
      <c r="B358" s="5" t="str">
        <f t="shared" si="170"/>
        <v>SPS3</v>
      </c>
      <c r="C358" s="5" t="s">
        <v>7</v>
      </c>
      <c r="D358" t="s">
        <v>114</v>
      </c>
      <c r="E358" t="str">
        <f t="shared" si="204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1.1332214190593859</v>
      </c>
      <c r="K358" s="1">
        <f>'[1]Electricity and CHPs_IN'!G$20</f>
        <v>13.017238258738388</v>
      </c>
      <c r="O358" s="1"/>
    </row>
    <row r="359" spans="1:15" x14ac:dyDescent="0.3">
      <c r="A359" s="5" t="s">
        <v>5</v>
      </c>
      <c r="B359" s="5" t="str">
        <f t="shared" si="170"/>
        <v>SPS3</v>
      </c>
      <c r="C359" s="5" t="s">
        <v>7</v>
      </c>
      <c r="D359" t="s">
        <v>115</v>
      </c>
      <c r="E359" t="str">
        <f t="shared" si="204"/>
        <v>PJ/yr.</v>
      </c>
      <c r="F359" s="1">
        <f>IFERROR(F131/SUM(F131,F196),0)*'[1]Electricity and CHPs_IN'!B$26</f>
        <v>3.8411028918442369</v>
      </c>
      <c r="G359" s="1">
        <f>IFERROR(G131/SUM(G131,G196),0)*'[1]Electricity and CHPs_IN'!C$26</f>
        <v>3.6556704513335982</v>
      </c>
      <c r="H359" s="1">
        <f>IFERROR(H131/SUM(H131,H196),0)*'[1]Electricity and CHPs_IN'!D$26</f>
        <v>3.6645189374850449</v>
      </c>
      <c r="I359" s="1">
        <f>IFERROR(I131/SUM(I131,I196),0)*'[1]Electricity and CHPs_IN'!E$26</f>
        <v>3.993016240790507</v>
      </c>
      <c r="J359" s="1">
        <f>IFERROR(J131/SUM(J131,J196),0)*'[1]Electricity and CHPs_IN'!F$26</f>
        <v>3.9971220255027342</v>
      </c>
      <c r="K359" s="1">
        <f>IFERROR(K131/SUM(K131,K196),0)*'[1]Electricity and CHPs_IN'!G$26</f>
        <v>3.7490813049460723</v>
      </c>
    </row>
    <row r="360" spans="1:15" x14ac:dyDescent="0.3">
      <c r="A360" s="5" t="s">
        <v>5</v>
      </c>
      <c r="B360" s="5" t="str">
        <f t="shared" si="170"/>
        <v>SPS3</v>
      </c>
      <c r="C360" s="5" t="s">
        <v>7</v>
      </c>
      <c r="D360" t="s">
        <v>116</v>
      </c>
      <c r="E360" t="str">
        <f t="shared" si="204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0.1266595761582891</v>
      </c>
      <c r="K360" s="1">
        <f>IFERROR(K132/SUM(K132,K197),0)*'[1]Electricity and CHPs_IN'!G$27</f>
        <v>1.336777594989129</v>
      </c>
    </row>
    <row r="361" spans="1:15" x14ac:dyDescent="0.3">
      <c r="A361" s="5" t="s">
        <v>5</v>
      </c>
      <c r="B361" s="5" t="str">
        <f t="shared" si="170"/>
        <v>SPS3</v>
      </c>
      <c r="C361" s="5" t="s">
        <v>7</v>
      </c>
      <c r="D361" t="s">
        <v>117</v>
      </c>
      <c r="E361" t="str">
        <f t="shared" si="204"/>
        <v>PJ/yr.</v>
      </c>
      <c r="F361" s="1">
        <f>IFERROR(F133/SUM(F133,F272),0)*'[1]Electricity and CHPs_IN'!B$44</f>
        <v>0.39444540478539808</v>
      </c>
      <c r="G361" s="1">
        <f>IFERROR(G133/SUM(G133,G272),0)*'[1]Electricity and CHPs_IN'!C$44</f>
        <v>0.40919420152902447</v>
      </c>
      <c r="H361" s="1">
        <f>IFERROR(H133/SUM(H133,H272),0)*'[1]Electricity and CHPs_IN'!D$44</f>
        <v>0.6336700418347232</v>
      </c>
      <c r="I361" s="1">
        <f>IFERROR(I133/SUM(I133,I272),0)*'[1]Electricity and CHPs_IN'!E$44</f>
        <v>0.71676098781304043</v>
      </c>
      <c r="J361" s="1">
        <f>IFERROR(J133/SUM(J133,J272),0)*'[1]Electricity and CHPs_IN'!F$44</f>
        <v>1.7020893154767658</v>
      </c>
      <c r="K361" s="1">
        <f>IFERROR(K133/SUM(K133,K272),0)*'[1]Electricity and CHPs_IN'!G$44</f>
        <v>1.8485620186344308E-3</v>
      </c>
    </row>
    <row r="362" spans="1:15" x14ac:dyDescent="0.3">
      <c r="A362" s="5" t="s">
        <v>5</v>
      </c>
      <c r="B362" s="5" t="str">
        <f t="shared" si="170"/>
        <v>SPS3</v>
      </c>
      <c r="C362" s="5" t="s">
        <v>7</v>
      </c>
      <c r="D362" t="s">
        <v>118</v>
      </c>
      <c r="E362" t="str">
        <f t="shared" si="204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3.3280867156980157E-2</v>
      </c>
      <c r="K362" s="1">
        <f>IFERROR(K134/SUM(K134,K273),0)*'[1]Electricity and CHPs_IN'!G$45</f>
        <v>2.4179235605844536</v>
      </c>
      <c r="O362" s="4"/>
    </row>
    <row r="363" spans="1:15" x14ac:dyDescent="0.3">
      <c r="A363" s="5" t="s">
        <v>5</v>
      </c>
      <c r="B363" s="5" t="str">
        <f t="shared" si="170"/>
        <v>SPS3</v>
      </c>
      <c r="C363" s="5" t="s">
        <v>7</v>
      </c>
      <c r="D363" t="s">
        <v>855</v>
      </c>
      <c r="E363" t="str">
        <f t="shared" si="204"/>
        <v>PJ/yr.</v>
      </c>
      <c r="F363" s="1">
        <f>SUM(F364:F367)</f>
        <v>11.022351873503695</v>
      </c>
      <c r="G363" s="1">
        <f t="shared" ref="G363:K363" si="206">SUM(G364:G367)</f>
        <v>12.042727082687128</v>
      </c>
      <c r="H363" s="1">
        <f t="shared" si="206"/>
        <v>12.199702894494425</v>
      </c>
      <c r="I363" s="1">
        <f t="shared" si="206"/>
        <v>12.487648826812656</v>
      </c>
      <c r="J363" s="1">
        <f t="shared" si="206"/>
        <v>13.921669433463508</v>
      </c>
      <c r="K363" s="1">
        <f t="shared" si="206"/>
        <v>15.560630852819628</v>
      </c>
      <c r="O363" s="7"/>
    </row>
    <row r="364" spans="1:15" x14ac:dyDescent="0.3">
      <c r="A364" s="5" t="s">
        <v>5</v>
      </c>
      <c r="B364" s="5" t="str">
        <f t="shared" si="170"/>
        <v>SPS3</v>
      </c>
      <c r="C364" s="5" t="s">
        <v>7</v>
      </c>
      <c r="D364" t="s">
        <v>119</v>
      </c>
      <c r="E364" t="str">
        <f t="shared" si="204"/>
        <v>PJ/yr.</v>
      </c>
      <c r="F364" s="1">
        <f>F357*IFERROR(F136/F129,0)</f>
        <v>9.1018004275815763</v>
      </c>
      <c r="G364" s="1">
        <f t="shared" ref="G364:K364" si="207">G357*IFERROR(G136/G129,0)</f>
        <v>10.214891857020328</v>
      </c>
      <c r="H364" s="1">
        <f t="shared" si="207"/>
        <v>10.367443425751903</v>
      </c>
      <c r="I364" s="1">
        <f t="shared" si="207"/>
        <v>10.491140706417402</v>
      </c>
      <c r="J364" s="1">
        <f t="shared" si="207"/>
        <v>11.293167923103304</v>
      </c>
      <c r="K364" s="1">
        <f t="shared" si="207"/>
        <v>6.5090822734828313</v>
      </c>
      <c r="O364" s="1"/>
    </row>
    <row r="365" spans="1:15" x14ac:dyDescent="0.3">
      <c r="A365" s="5" t="s">
        <v>5</v>
      </c>
      <c r="B365" s="5" t="str">
        <f t="shared" si="170"/>
        <v>SPS3</v>
      </c>
      <c r="C365" s="5" t="s">
        <v>7</v>
      </c>
      <c r="D365" t="s">
        <v>120</v>
      </c>
      <c r="E365" t="str">
        <f t="shared" si="204"/>
        <v>PJ/yr.</v>
      </c>
      <c r="F365" s="1">
        <f t="shared" ref="F365:K365" si="208">F358*IFERROR(F137/F130,0)</f>
        <v>0</v>
      </c>
      <c r="G365" s="1">
        <f t="shared" si="208"/>
        <v>0</v>
      </c>
      <c r="H365" s="1">
        <f t="shared" si="208"/>
        <v>0</v>
      </c>
      <c r="I365" s="1">
        <f t="shared" si="208"/>
        <v>0</v>
      </c>
      <c r="J365" s="1">
        <f t="shared" si="208"/>
        <v>0.56661070952969295</v>
      </c>
      <c r="K365" s="1">
        <f t="shared" si="208"/>
        <v>6.508619129369194</v>
      </c>
    </row>
    <row r="366" spans="1:15" x14ac:dyDescent="0.3">
      <c r="A366" s="5" t="s">
        <v>5</v>
      </c>
      <c r="B366" s="5" t="str">
        <f t="shared" si="170"/>
        <v>SPS3</v>
      </c>
      <c r="C366" s="5" t="s">
        <v>7</v>
      </c>
      <c r="D366" t="s">
        <v>121</v>
      </c>
      <c r="E366" t="str">
        <f t="shared" si="204"/>
        <v>PJ/yr.</v>
      </c>
      <c r="F366" s="1">
        <f t="shared" ref="F366:K366" si="209">F359*IFERROR(F138/F131,0)</f>
        <v>1.9205514459221185</v>
      </c>
      <c r="G366" s="1">
        <f t="shared" si="209"/>
        <v>1.8278352256667991</v>
      </c>
      <c r="H366" s="1">
        <f t="shared" si="209"/>
        <v>1.8322594687425224</v>
      </c>
      <c r="I366" s="1">
        <f t="shared" si="209"/>
        <v>1.9965081203952539</v>
      </c>
      <c r="J366" s="1">
        <f t="shared" si="209"/>
        <v>1.9985610127513671</v>
      </c>
      <c r="K366" s="1">
        <f t="shared" si="209"/>
        <v>1.8745406524730361</v>
      </c>
    </row>
    <row r="367" spans="1:15" x14ac:dyDescent="0.3">
      <c r="A367" s="5" t="s">
        <v>5</v>
      </c>
      <c r="B367" s="5" t="str">
        <f t="shared" si="170"/>
        <v>SPS3</v>
      </c>
      <c r="C367" s="5" t="s">
        <v>7</v>
      </c>
      <c r="D367" t="s">
        <v>122</v>
      </c>
      <c r="E367" t="str">
        <f t="shared" si="204"/>
        <v>PJ/yr.</v>
      </c>
      <c r="F367" s="1">
        <f t="shared" ref="F367:K367" si="210">F360*IFERROR(F139/F132,0)</f>
        <v>0</v>
      </c>
      <c r="G367" s="1">
        <f t="shared" si="210"/>
        <v>0</v>
      </c>
      <c r="H367" s="1">
        <f t="shared" si="210"/>
        <v>0</v>
      </c>
      <c r="I367" s="1">
        <f t="shared" si="210"/>
        <v>0</v>
      </c>
      <c r="J367" s="1">
        <f t="shared" si="210"/>
        <v>6.332978807914455E-2</v>
      </c>
      <c r="K367" s="1">
        <f t="shared" si="210"/>
        <v>0.66838879749456459</v>
      </c>
    </row>
    <row r="368" spans="1:15" x14ac:dyDescent="0.3">
      <c r="A368" s="5" t="s">
        <v>5</v>
      </c>
      <c r="B368" s="5" t="str">
        <f t="shared" si="170"/>
        <v>SPS3</v>
      </c>
      <c r="C368" s="5" t="s">
        <v>7</v>
      </c>
      <c r="D368" t="s">
        <v>123</v>
      </c>
      <c r="E368" t="str">
        <f t="shared" si="204"/>
        <v>PJ/yr.</v>
      </c>
      <c r="F368" s="1">
        <f t="shared" ref="F368:K368" si="211">F361*IFERROR(F140/F133,0)</f>
        <v>0</v>
      </c>
      <c r="G368" s="1">
        <f t="shared" si="211"/>
        <v>0</v>
      </c>
      <c r="H368" s="1">
        <f t="shared" si="211"/>
        <v>0</v>
      </c>
      <c r="I368" s="1">
        <f t="shared" si="211"/>
        <v>0</v>
      </c>
      <c r="J368" s="1">
        <f t="shared" si="211"/>
        <v>0</v>
      </c>
      <c r="K368" s="1">
        <f t="shared" si="211"/>
        <v>0</v>
      </c>
    </row>
    <row r="369" spans="1:15" x14ac:dyDescent="0.3">
      <c r="A369" s="5" t="s">
        <v>5</v>
      </c>
      <c r="B369" s="5" t="str">
        <f t="shared" si="170"/>
        <v>SPS3</v>
      </c>
      <c r="C369" s="5" t="s">
        <v>7</v>
      </c>
      <c r="D369" t="s">
        <v>124</v>
      </c>
      <c r="E369" t="str">
        <f t="shared" si="204"/>
        <v>PJ/yr.</v>
      </c>
      <c r="F369" s="1">
        <f t="shared" ref="F369:K369" si="212">F362*IFERROR(F141/F134,0)</f>
        <v>0</v>
      </c>
      <c r="G369" s="1">
        <f t="shared" si="212"/>
        <v>0</v>
      </c>
      <c r="H369" s="1">
        <f t="shared" si="212"/>
        <v>0</v>
      </c>
      <c r="I369" s="1">
        <f t="shared" si="212"/>
        <v>0</v>
      </c>
      <c r="J369" s="1">
        <f t="shared" si="212"/>
        <v>0</v>
      </c>
      <c r="K369" s="1">
        <f t="shared" si="212"/>
        <v>0</v>
      </c>
    </row>
    <row r="370" spans="1:15" x14ac:dyDescent="0.3">
      <c r="A370" s="5" t="s">
        <v>5</v>
      </c>
      <c r="B370" s="5" t="str">
        <f t="shared" si="170"/>
        <v>SPS3</v>
      </c>
      <c r="C370" s="5" t="s">
        <v>7</v>
      </c>
      <c r="D370" t="s">
        <v>856</v>
      </c>
      <c r="E370" t="str">
        <f t="shared" si="204"/>
        <v>PJ/yr.</v>
      </c>
      <c r="F370" s="1">
        <f>SUM(F371:F376)</f>
        <v>11.416797278289092</v>
      </c>
      <c r="G370" s="1">
        <f t="shared" ref="G370:K370" si="213">SUM(G371:G376)</f>
        <v>12.451921284216152</v>
      </c>
      <c r="H370" s="1">
        <f t="shared" si="213"/>
        <v>12.833372936329148</v>
      </c>
      <c r="I370" s="1">
        <f t="shared" si="213"/>
        <v>13.204409814625697</v>
      </c>
      <c r="J370" s="1">
        <f t="shared" si="213"/>
        <v>15.657039616097254</v>
      </c>
      <c r="K370" s="1">
        <f t="shared" si="213"/>
        <v>17.980402975422717</v>
      </c>
      <c r="M370" s="1"/>
      <c r="N370" s="1"/>
      <c r="O370" s="1"/>
    </row>
    <row r="371" spans="1:15" x14ac:dyDescent="0.3">
      <c r="A371" s="5" t="s">
        <v>5</v>
      </c>
      <c r="B371" s="5" t="str">
        <f t="shared" si="170"/>
        <v>SPS3</v>
      </c>
      <c r="C371" s="5" t="s">
        <v>7</v>
      </c>
      <c r="D371" t="s">
        <v>125</v>
      </c>
      <c r="E371" t="str">
        <f t="shared" si="204"/>
        <v>PJ/yr.</v>
      </c>
      <c r="F371" s="1">
        <f t="shared" ref="F371:K371" si="214">F364*IFERROR(F143/F136,0)</f>
        <v>9.1018004275815763</v>
      </c>
      <c r="G371" s="1">
        <f t="shared" si="214"/>
        <v>10.214891857020328</v>
      </c>
      <c r="H371" s="1">
        <f t="shared" si="214"/>
        <v>10.367443425751903</v>
      </c>
      <c r="I371" s="1">
        <f t="shared" si="214"/>
        <v>10.491140706417402</v>
      </c>
      <c r="J371" s="1">
        <f t="shared" si="214"/>
        <v>11.293167923103304</v>
      </c>
      <c r="K371" s="1">
        <f t="shared" si="214"/>
        <v>6.5090822734828313</v>
      </c>
      <c r="M371" s="1"/>
      <c r="N371" s="1"/>
      <c r="O371" s="1"/>
    </row>
    <row r="372" spans="1:15" x14ac:dyDescent="0.3">
      <c r="A372" s="5" t="s">
        <v>5</v>
      </c>
      <c r="B372" s="5" t="str">
        <f t="shared" ref="B372:B435" si="215">B371</f>
        <v>SPS3</v>
      </c>
      <c r="C372" s="5" t="s">
        <v>7</v>
      </c>
      <c r="D372" t="s">
        <v>126</v>
      </c>
      <c r="E372" t="str">
        <f t="shared" si="204"/>
        <v>PJ/yr.</v>
      </c>
      <c r="F372" s="1">
        <f t="shared" ref="F372:K372" si="216">F365*IFERROR(F144/F137,0)</f>
        <v>0</v>
      </c>
      <c r="G372" s="1">
        <f t="shared" si="216"/>
        <v>0</v>
      </c>
      <c r="H372" s="1">
        <f t="shared" si="216"/>
        <v>0</v>
      </c>
      <c r="I372" s="1">
        <f t="shared" si="216"/>
        <v>0</v>
      </c>
      <c r="J372" s="1">
        <f t="shared" si="216"/>
        <v>0.56661070952969295</v>
      </c>
      <c r="K372" s="1">
        <f t="shared" si="216"/>
        <v>6.508619129369194</v>
      </c>
    </row>
    <row r="373" spans="1:15" x14ac:dyDescent="0.3">
      <c r="A373" s="5" t="s">
        <v>5</v>
      </c>
      <c r="B373" s="5" t="str">
        <f t="shared" si="215"/>
        <v>SPS3</v>
      </c>
      <c r="C373" s="5" t="s">
        <v>7</v>
      </c>
      <c r="D373" t="s">
        <v>127</v>
      </c>
      <c r="E373" t="str">
        <f t="shared" si="204"/>
        <v>PJ/yr.</v>
      </c>
      <c r="F373" s="1">
        <f t="shared" ref="F373:K373" si="217">F366*IFERROR(F145/F138,0)</f>
        <v>1.9205514459221185</v>
      </c>
      <c r="G373" s="1">
        <f t="shared" si="217"/>
        <v>1.8278352256667991</v>
      </c>
      <c r="H373" s="1">
        <f t="shared" si="217"/>
        <v>1.8322594687425224</v>
      </c>
      <c r="I373" s="1">
        <f t="shared" si="217"/>
        <v>1.9965081203952533</v>
      </c>
      <c r="J373" s="1">
        <f t="shared" si="217"/>
        <v>1.9985610127513671</v>
      </c>
      <c r="K373" s="1">
        <f t="shared" si="217"/>
        <v>1.8745406524730361</v>
      </c>
    </row>
    <row r="374" spans="1:15" x14ac:dyDescent="0.3">
      <c r="A374" s="5" t="s">
        <v>5</v>
      </c>
      <c r="B374" s="5" t="str">
        <f t="shared" si="215"/>
        <v>SPS3</v>
      </c>
      <c r="C374" s="5" t="s">
        <v>7</v>
      </c>
      <c r="D374" t="s">
        <v>128</v>
      </c>
      <c r="E374" t="str">
        <f t="shared" si="204"/>
        <v>PJ/yr.</v>
      </c>
      <c r="F374" s="1">
        <f t="shared" ref="F374:K374" si="218">F367*IFERROR(F146/F139,0)</f>
        <v>0</v>
      </c>
      <c r="G374" s="1">
        <f t="shared" si="218"/>
        <v>0</v>
      </c>
      <c r="H374" s="1">
        <f t="shared" si="218"/>
        <v>0</v>
      </c>
      <c r="I374" s="1">
        <f t="shared" si="218"/>
        <v>0</v>
      </c>
      <c r="J374" s="1">
        <f t="shared" si="218"/>
        <v>6.332978807914455E-2</v>
      </c>
      <c r="K374" s="1">
        <f t="shared" si="218"/>
        <v>0.66838879749456437</v>
      </c>
    </row>
    <row r="375" spans="1:15" x14ac:dyDescent="0.3">
      <c r="A375" s="5" t="s">
        <v>5</v>
      </c>
      <c r="B375" s="5" t="str">
        <f t="shared" si="215"/>
        <v>SPS3</v>
      </c>
      <c r="C375" s="5" t="s">
        <v>7</v>
      </c>
      <c r="D375" t="s">
        <v>129</v>
      </c>
      <c r="E375" t="str">
        <f t="shared" si="204"/>
        <v>PJ/yr.</v>
      </c>
      <c r="F375" s="1">
        <f>F361</f>
        <v>0.39444540478539808</v>
      </c>
      <c r="G375" s="1">
        <f t="shared" ref="G375:K375" si="219">G361</f>
        <v>0.40919420152902447</v>
      </c>
      <c r="H375" s="1">
        <f t="shared" si="219"/>
        <v>0.6336700418347232</v>
      </c>
      <c r="I375" s="1">
        <f t="shared" si="219"/>
        <v>0.71676098781304043</v>
      </c>
      <c r="J375" s="1">
        <f t="shared" si="219"/>
        <v>1.7020893154767658</v>
      </c>
      <c r="K375" s="1">
        <f t="shared" si="219"/>
        <v>1.8485620186344308E-3</v>
      </c>
    </row>
    <row r="376" spans="1:15" x14ac:dyDescent="0.3">
      <c r="A376" s="5" t="s">
        <v>5</v>
      </c>
      <c r="B376" s="5" t="str">
        <f t="shared" si="215"/>
        <v>SPS3</v>
      </c>
      <c r="C376" s="5" t="s">
        <v>7</v>
      </c>
      <c r="D376" t="s">
        <v>130</v>
      </c>
      <c r="E376" t="str">
        <f t="shared" si="204"/>
        <v>PJ/yr.</v>
      </c>
      <c r="F376" s="1">
        <f t="shared" ref="F376:K376" si="220">F362</f>
        <v>0</v>
      </c>
      <c r="G376" s="1">
        <f t="shared" si="220"/>
        <v>0</v>
      </c>
      <c r="H376" s="1">
        <f t="shared" si="220"/>
        <v>0</v>
      </c>
      <c r="I376" s="1">
        <f t="shared" si="220"/>
        <v>0</v>
      </c>
      <c r="J376" s="1">
        <f t="shared" si="220"/>
        <v>3.3280867156980157E-2</v>
      </c>
      <c r="K376" s="1">
        <f t="shared" si="220"/>
        <v>2.4179235605844536</v>
      </c>
    </row>
    <row r="377" spans="1:15" x14ac:dyDescent="0.3">
      <c r="A377" s="5" t="s">
        <v>5</v>
      </c>
      <c r="B377" s="5" t="str">
        <f t="shared" si="215"/>
        <v>SPS3</v>
      </c>
      <c r="C377" s="5" t="s">
        <v>7</v>
      </c>
      <c r="D377" t="s">
        <v>857</v>
      </c>
      <c r="E377" t="str">
        <f t="shared" si="204"/>
        <v>PJ/yr.</v>
      </c>
      <c r="F377" s="1">
        <f>SUM(F378:F384)</f>
        <v>0.60812747932967037</v>
      </c>
      <c r="G377" s="1">
        <f t="shared" ref="G377:K377" si="221">SUM(G378:G384)</f>
        <v>0.56323120940252935</v>
      </c>
      <c r="H377" s="1">
        <f t="shared" si="221"/>
        <v>1.5376954947773451</v>
      </c>
      <c r="I377" s="1">
        <f t="shared" si="221"/>
        <v>2.0941342916898873</v>
      </c>
      <c r="J377" s="1">
        <f t="shared" si="221"/>
        <v>4.0924509903270581</v>
      </c>
      <c r="K377" s="1">
        <f t="shared" si="221"/>
        <v>6.6146178219595519</v>
      </c>
    </row>
    <row r="378" spans="1:15" x14ac:dyDescent="0.3">
      <c r="A378" s="5" t="s">
        <v>5</v>
      </c>
      <c r="B378" s="5" t="str">
        <f t="shared" si="215"/>
        <v>SPS3</v>
      </c>
      <c r="C378" s="5" t="s">
        <v>7</v>
      </c>
      <c r="D378" t="s">
        <v>131</v>
      </c>
      <c r="E378" t="str">
        <f t="shared" si="204"/>
        <v>PJ/yr.</v>
      </c>
      <c r="F378" s="1">
        <f>IFERROR(F150/SUM(F150,F205),0)*'[1]Electricity and CHPs_IN'!B$25</f>
        <v>0.42700080700280718</v>
      </c>
      <c r="G378" s="1">
        <f>IFERROR(G150/SUM(G150,G205),0)*'[1]Electricity and CHPs_IN'!C$25</f>
        <v>4.7892344876890029E-2</v>
      </c>
      <c r="H378" s="1">
        <f>IFERROR(H150/SUM(H150,H205),0)*'[1]Electricity and CHPs_IN'!D$25</f>
        <v>0.40429967361673369</v>
      </c>
      <c r="I378" s="1">
        <f>IFERROR(I150/SUM(I150,I205),0)*'[1]Electricity and CHPs_IN'!E$25</f>
        <v>1.3199295555443953E-3</v>
      </c>
      <c r="J378" s="1">
        <f>IFERROR(J150/SUM(J150,J205),0)*'[1]Electricity and CHPs_IN'!F$25</f>
        <v>0.76150412048604743</v>
      </c>
      <c r="K378" s="1">
        <f>IFERROR(K150/SUM(K150,K205),0)*'[1]Electricity and CHPs_IN'!G$25</f>
        <v>1.177258287932019</v>
      </c>
    </row>
    <row r="379" spans="1:15" x14ac:dyDescent="0.3">
      <c r="A379" s="5" t="s">
        <v>5</v>
      </c>
      <c r="B379" s="5" t="str">
        <f t="shared" si="215"/>
        <v>SPS3</v>
      </c>
      <c r="C379" s="5" t="s">
        <v>7</v>
      </c>
      <c r="D379" t="s">
        <v>132</v>
      </c>
      <c r="E379" t="str">
        <f t="shared" si="204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5.4734783309603033E-2</v>
      </c>
      <c r="K379" s="1">
        <f>'[1]Electricity and CHPs_IN'!G$31</f>
        <v>1.8766005257108296</v>
      </c>
    </row>
    <row r="380" spans="1:15" x14ac:dyDescent="0.3">
      <c r="A380" s="5" t="s">
        <v>5</v>
      </c>
      <c r="B380" s="5" t="str">
        <f t="shared" si="215"/>
        <v>SPS3</v>
      </c>
      <c r="C380" s="5" t="s">
        <v>7</v>
      </c>
      <c r="D380" t="s">
        <v>133</v>
      </c>
      <c r="E380" t="str">
        <f t="shared" si="204"/>
        <v>PJ/yr.</v>
      </c>
      <c r="F380" s="1">
        <f>IFERROR(F152/SUM(F152,F281),0)*'[1]Electricity and CHPs_IN'!B$42</f>
        <v>0.18112667232686319</v>
      </c>
      <c r="G380" s="1">
        <f>IFERROR(G152/SUM(G152,G281),0)*'[1]Electricity and CHPs_IN'!C$42</f>
        <v>0.51533886452563937</v>
      </c>
      <c r="H380" s="1">
        <f>IFERROR(H152/SUM(H152,H281),0)*'[1]Electricity and CHPs_IN'!D$42</f>
        <v>1.1333958211606114</v>
      </c>
      <c r="I380" s="1">
        <f>IFERROR(I152/SUM(I152,I281),0)*'[1]Electricity and CHPs_IN'!E$42</f>
        <v>2.0858663794557648</v>
      </c>
      <c r="J380" s="1">
        <f>IFERROR(J152/SUM(J152,J281),0)*'[1]Electricity and CHPs_IN'!F$42</f>
        <v>1.0817131214900317</v>
      </c>
      <c r="K380" s="1">
        <f>IFERROR(K152/SUM(K152,K281),0)*'[1]Electricity and CHPs_IN'!G$42</f>
        <v>0.27104528247601767</v>
      </c>
    </row>
    <row r="381" spans="1:15" x14ac:dyDescent="0.3">
      <c r="A381" s="5" t="s">
        <v>5</v>
      </c>
      <c r="B381" s="5" t="str">
        <f t="shared" si="215"/>
        <v>SPS3</v>
      </c>
      <c r="C381" s="5" t="s">
        <v>7</v>
      </c>
      <c r="D381" t="s">
        <v>134</v>
      </c>
      <c r="E381" t="str">
        <f t="shared" si="204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2.1177624922313947</v>
      </c>
      <c r="K381" s="1">
        <f>IFERROR(K153/SUM(K153,K282),0)*'[1]Electricity and CHPs_IN'!G$43</f>
        <v>3.26393704976305</v>
      </c>
    </row>
    <row r="382" spans="1:15" x14ac:dyDescent="0.3">
      <c r="A382" s="5" t="s">
        <v>5</v>
      </c>
      <c r="B382" s="5" t="str">
        <f t="shared" si="215"/>
        <v>SPS3</v>
      </c>
      <c r="C382" s="5" t="s">
        <v>7</v>
      </c>
      <c r="D382" t="s">
        <v>135</v>
      </c>
      <c r="E382" t="str">
        <f t="shared" si="204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2.3844297868358183E-3</v>
      </c>
      <c r="J382" s="1">
        <f>IFERROR(J154/SUM(J283,J154),0)*'[1]Electricity and CHPs_IN'!F$50</f>
        <v>1.2791008235380329E-2</v>
      </c>
      <c r="K382" s="1">
        <f>IFERROR(K154/SUM(K283,K154),0)*'[1]Electricity and CHPs_IN'!G$50</f>
        <v>5.4959927083389395E-3</v>
      </c>
    </row>
    <row r="383" spans="1:15" x14ac:dyDescent="0.3">
      <c r="A383" s="5" t="s">
        <v>5</v>
      </c>
      <c r="B383" s="5" t="str">
        <f t="shared" si="215"/>
        <v>SPS3</v>
      </c>
      <c r="C383" s="5" t="s">
        <v>7</v>
      </c>
      <c r="D383" t="s">
        <v>136</v>
      </c>
      <c r="E383" t="str">
        <f t="shared" si="204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3.8241408284184052E-3</v>
      </c>
      <c r="J383" s="1">
        <f>IFERROR(J155/SUM(J284,J155),0)*'[1]Electricity and CHPs_IN'!F$53</f>
        <v>3.3319130678696685E-2</v>
      </c>
      <c r="K383" s="1">
        <f>IFERROR(K155/SUM(K284,K155),0)*'[1]Electricity and CHPs_IN'!G$53</f>
        <v>1.5430965906555814E-2</v>
      </c>
    </row>
    <row r="384" spans="1:15" x14ac:dyDescent="0.3">
      <c r="A384" s="5" t="s">
        <v>5</v>
      </c>
      <c r="B384" s="5" t="str">
        <f t="shared" si="215"/>
        <v>SPS3</v>
      </c>
      <c r="C384" s="5" t="s">
        <v>7</v>
      </c>
      <c r="D384" t="s">
        <v>294</v>
      </c>
      <c r="E384" t="str">
        <f t="shared" si="204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7.3941206332366299E-4</v>
      </c>
      <c r="J384" s="1">
        <f>IFERROR(J156/SUM(J285,J156),0)*'[1]Electricity and CHPs_IN'!F$56</f>
        <v>3.0626333895903829E-2</v>
      </c>
      <c r="K384" s="1">
        <f>IFERROR(K156/SUM(K285,K156),0)*'[1]Electricity and CHPs_IN'!G$56</f>
        <v>4.8497174627399912E-3</v>
      </c>
    </row>
    <row r="385" spans="1:11" x14ac:dyDescent="0.3">
      <c r="A385" s="5" t="s">
        <v>5</v>
      </c>
      <c r="B385" s="5" t="str">
        <f t="shared" si="215"/>
        <v>SPS3</v>
      </c>
      <c r="C385" s="5" t="s">
        <v>7</v>
      </c>
      <c r="D385" t="s">
        <v>858</v>
      </c>
      <c r="E385" t="str">
        <f t="shared" si="204"/>
        <v>PJ/yr.</v>
      </c>
      <c r="F385" s="1">
        <f>F386</f>
        <v>0.52400000000000047</v>
      </c>
      <c r="G385" s="1">
        <f t="shared" ref="G385:K385" si="222">G386</f>
        <v>0.54529215891333116</v>
      </c>
      <c r="H385" s="1">
        <f t="shared" si="222"/>
        <v>1.053736054748607</v>
      </c>
      <c r="I385" s="1">
        <f t="shared" si="222"/>
        <v>2.0502647086101042</v>
      </c>
      <c r="J385" s="1">
        <f t="shared" si="222"/>
        <v>5.0205316414291739</v>
      </c>
      <c r="K385" s="1">
        <f t="shared" si="222"/>
        <v>6.1200039083223396</v>
      </c>
    </row>
    <row r="386" spans="1:11" x14ac:dyDescent="0.3">
      <c r="A386" s="5" t="s">
        <v>5</v>
      </c>
      <c r="B386" s="5" t="str">
        <f t="shared" si="215"/>
        <v>SPS3</v>
      </c>
      <c r="C386" s="5" t="s">
        <v>7</v>
      </c>
      <c r="D386" t="s">
        <v>137</v>
      </c>
      <c r="E386" t="str">
        <f t="shared" si="204"/>
        <v>PJ/yr.</v>
      </c>
      <c r="F386" s="1">
        <f>'[1]Electricity and CHPs_IN'!B$33</f>
        <v>0.52400000000000047</v>
      </c>
      <c r="G386" s="1">
        <f>'[1]Electricity and CHPs_IN'!C$33</f>
        <v>0.54529215891333116</v>
      </c>
      <c r="H386" s="1">
        <f>'[1]Electricity and CHPs_IN'!D$33</f>
        <v>1.053736054748607</v>
      </c>
      <c r="I386" s="1">
        <f>'[1]Electricity and CHPs_IN'!E$33</f>
        <v>2.0502647086101042</v>
      </c>
      <c r="J386" s="1">
        <f>'[1]Electricity and CHPs_IN'!F$33</f>
        <v>5.0205316414291739</v>
      </c>
      <c r="K386" s="1">
        <f>'[1]Electricity and CHPs_IN'!G$33</f>
        <v>6.1200039083223396</v>
      </c>
    </row>
    <row r="387" spans="1:11" x14ac:dyDescent="0.3">
      <c r="A387" s="5" t="s">
        <v>5</v>
      </c>
      <c r="B387" s="5" t="str">
        <f t="shared" si="215"/>
        <v>SPS3</v>
      </c>
      <c r="C387" s="5" t="s">
        <v>7</v>
      </c>
      <c r="D387" t="s">
        <v>859</v>
      </c>
      <c r="E387" t="str">
        <f t="shared" si="204"/>
        <v>PJ/yr.</v>
      </c>
      <c r="F387" s="1">
        <f>SUM(F388:F392)</f>
        <v>9.3550000000000111</v>
      </c>
      <c r="G387" s="1">
        <f t="shared" ref="G387:K387" si="223">SUM(G388:G392)</f>
        <v>12.822602262035604</v>
      </c>
      <c r="H387" s="1">
        <f t="shared" si="223"/>
        <v>28.800036474833561</v>
      </c>
      <c r="I387" s="1">
        <f t="shared" si="223"/>
        <v>31.320129878887887</v>
      </c>
      <c r="J387" s="1">
        <f t="shared" si="223"/>
        <v>60.66015200495228</v>
      </c>
      <c r="K387" s="1">
        <f t="shared" si="223"/>
        <v>90.000064678843771</v>
      </c>
    </row>
    <row r="388" spans="1:11" x14ac:dyDescent="0.3">
      <c r="A388" s="5" t="s">
        <v>5</v>
      </c>
      <c r="B388" s="5" t="str">
        <f t="shared" si="215"/>
        <v>SPS3</v>
      </c>
      <c r="C388" s="5" t="s">
        <v>7</v>
      </c>
      <c r="D388" t="s">
        <v>138</v>
      </c>
      <c r="E388" t="str">
        <f t="shared" si="204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5.3129421494185695E-2</v>
      </c>
      <c r="I388" s="1">
        <f>'[1]Electricity and CHPs_IN'!E34</f>
        <v>5.8861098474170703E-2</v>
      </c>
      <c r="J388" s="1">
        <f>'[1]Electricity and CHPs_IN'!F34</f>
        <v>2.0843769458723442</v>
      </c>
      <c r="K388" s="1">
        <f>'[1]Electricity and CHPs_IN'!G34</f>
        <v>7.7339653579324867</v>
      </c>
    </row>
    <row r="389" spans="1:11" x14ac:dyDescent="0.3">
      <c r="A389" s="5" t="s">
        <v>5</v>
      </c>
      <c r="B389" s="5" t="str">
        <f t="shared" si="215"/>
        <v>SPS3</v>
      </c>
      <c r="C389" s="5" t="s">
        <v>7</v>
      </c>
      <c r="D389" t="s">
        <v>139</v>
      </c>
      <c r="E389" t="str">
        <f t="shared" si="204"/>
        <v>PJ/yr.</v>
      </c>
      <c r="F389" s="1">
        <f>'[1]Electricity and CHPs_IN'!B35</f>
        <v>3.517953999707534</v>
      </c>
      <c r="G389" s="1">
        <f>'[1]Electricity and CHPs_IN'!C35</f>
        <v>4.8498358842776508</v>
      </c>
      <c r="H389" s="1">
        <f>'[1]Electricity and CHPs_IN'!D35</f>
        <v>11.161606387791492</v>
      </c>
      <c r="I389" s="1">
        <f>'[1]Electricity and CHPs_IN'!E35</f>
        <v>12.259650293068507</v>
      </c>
      <c r="J389" s="1">
        <f>'[1]Electricity and CHPs_IN'!F35</f>
        <v>40.833968620879681</v>
      </c>
      <c r="K389" s="1">
        <f>'[1]Electricity and CHPs_IN'!G35</f>
        <v>64.332956945235054</v>
      </c>
    </row>
    <row r="390" spans="1:11" x14ac:dyDescent="0.3">
      <c r="A390" s="5" t="s">
        <v>5</v>
      </c>
      <c r="B390" s="5" t="str">
        <f t="shared" si="215"/>
        <v>SPS3</v>
      </c>
      <c r="C390" s="5" t="s">
        <v>7</v>
      </c>
      <c r="D390" t="s">
        <v>140</v>
      </c>
      <c r="E390" t="str">
        <f t="shared" si="204"/>
        <v>PJ/yr.</v>
      </c>
      <c r="F390" s="1">
        <f>'[1]Electricity and CHPs_IN'!B36</f>
        <v>2.1349390887346629</v>
      </c>
      <c r="G390" s="1">
        <f>'[1]Electricity and CHPs_IN'!C36</f>
        <v>3.3906966681339283</v>
      </c>
      <c r="H390" s="1">
        <f>'[1]Electricity and CHPs_IN'!D36</f>
        <v>4.0596118776429702</v>
      </c>
      <c r="I390" s="1">
        <f>'[1]Electricity and CHPs_IN'!E36</f>
        <v>4.3652859142233682</v>
      </c>
      <c r="J390" s="1">
        <f>'[1]Electricity and CHPs_IN'!F36</f>
        <v>1.5725356698252446</v>
      </c>
      <c r="K390" s="1">
        <f>'[1]Electricity and CHPs_IN'!G36</f>
        <v>7.1054248833516742E-2</v>
      </c>
    </row>
    <row r="391" spans="1:11" x14ac:dyDescent="0.3">
      <c r="A391" s="5" t="s">
        <v>5</v>
      </c>
      <c r="B391" s="5" t="str">
        <f t="shared" si="215"/>
        <v>SPS3</v>
      </c>
      <c r="C391" s="5" t="s">
        <v>7</v>
      </c>
      <c r="D391" t="s">
        <v>141</v>
      </c>
      <c r="E391" t="str">
        <f t="shared" si="204"/>
        <v>PJ/yr.</v>
      </c>
      <c r="F391" s="1">
        <f>'[1]Electricity and CHPs_IN'!B37</f>
        <v>0.86248322578584768</v>
      </c>
      <c r="G391" s="1">
        <f>'[1]Electricity and CHPs_IN'!C37</f>
        <v>1.2876145147246605</v>
      </c>
      <c r="H391" s="1">
        <f>'[1]Electricity and CHPs_IN'!D37</f>
        <v>3.5608360731495665</v>
      </c>
      <c r="I391" s="1">
        <f>'[1]Electricity and CHPs_IN'!E37</f>
        <v>3.9005191064048668</v>
      </c>
      <c r="J391" s="1">
        <f>'[1]Electricity and CHPs_IN'!F37</f>
        <v>4.3090860811542964</v>
      </c>
      <c r="K391" s="1">
        <f>'[1]Electricity and CHPs_IN'!G37</f>
        <v>4.7604085600527091</v>
      </c>
    </row>
    <row r="392" spans="1:11" x14ac:dyDescent="0.3">
      <c r="A392" s="5" t="s">
        <v>5</v>
      </c>
      <c r="B392" s="5" t="str">
        <f t="shared" si="215"/>
        <v>SPS3</v>
      </c>
      <c r="C392" s="5" t="s">
        <v>7</v>
      </c>
      <c r="D392" t="s">
        <v>142</v>
      </c>
      <c r="E392" t="str">
        <f t="shared" si="204"/>
        <v>PJ/yr.</v>
      </c>
      <c r="F392" s="1">
        <f>'[1]Electricity and CHPs_IN'!B38</f>
        <v>2.8396236857719668</v>
      </c>
      <c r="G392" s="1">
        <f>'[1]Electricity and CHPs_IN'!C38</f>
        <v>3.2944551948993634</v>
      </c>
      <c r="H392" s="1">
        <f>'[1]Electricity and CHPs_IN'!D38</f>
        <v>9.9648527147553452</v>
      </c>
      <c r="I392" s="1">
        <f>'[1]Electricity and CHPs_IN'!E38</f>
        <v>10.735813466716973</v>
      </c>
      <c r="J392" s="1">
        <f>'[1]Electricity and CHPs_IN'!F38</f>
        <v>11.860184687220714</v>
      </c>
      <c r="K392" s="1">
        <f>'[1]Electricity and CHPs_IN'!G38</f>
        <v>13.101679566789995</v>
      </c>
    </row>
    <row r="393" spans="1:11" x14ac:dyDescent="0.3">
      <c r="A393" s="5" t="s">
        <v>5</v>
      </c>
      <c r="B393" s="5" t="str">
        <f t="shared" si="215"/>
        <v>SPS3</v>
      </c>
      <c r="C393" s="5" t="s">
        <v>7</v>
      </c>
      <c r="D393" t="s">
        <v>860</v>
      </c>
      <c r="E393" t="str">
        <f t="shared" si="204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3">
      <c r="A394" s="5" t="s">
        <v>5</v>
      </c>
      <c r="B394" s="5" t="str">
        <f t="shared" si="215"/>
        <v>SPS3</v>
      </c>
      <c r="C394" s="5" t="s">
        <v>7</v>
      </c>
      <c r="D394" t="s">
        <v>143</v>
      </c>
      <c r="E394" t="str">
        <f t="shared" si="204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0</v>
      </c>
      <c r="K394" s="1">
        <f>'[1]Electricity and CHPs_IN'!G$32</f>
        <v>0</v>
      </c>
    </row>
    <row r="395" spans="1:11" x14ac:dyDescent="0.3">
      <c r="A395" s="5" t="s">
        <v>5</v>
      </c>
      <c r="B395" s="5" t="str">
        <f t="shared" si="215"/>
        <v>SPS3</v>
      </c>
      <c r="C395" s="5" t="s">
        <v>7</v>
      </c>
      <c r="D395" t="s">
        <v>861</v>
      </c>
      <c r="E395" t="str">
        <f t="shared" si="204"/>
        <v>PJ/yr.</v>
      </c>
      <c r="F395" s="1">
        <f t="shared" ref="F395" si="224">SUM(F396:F398)</f>
        <v>0</v>
      </c>
      <c r="G395" s="1">
        <f t="shared" ref="G395" si="225">SUM(G396:G398)</f>
        <v>0</v>
      </c>
      <c r="H395" s="1">
        <f t="shared" ref="H395" si="226">SUM(H396:H398)</f>
        <v>0</v>
      </c>
      <c r="I395" s="1">
        <f t="shared" ref="I395" si="227">SUM(I396:I398)</f>
        <v>2.2202745704052564E-3</v>
      </c>
      <c r="J395" s="1">
        <f t="shared" ref="J395" si="228">SUM(J396:J398)</f>
        <v>1.4876321168924053E-2</v>
      </c>
      <c r="K395" s="1">
        <f t="shared" ref="K395" si="229">SUM(K396:K398)</f>
        <v>5.8320678574239553</v>
      </c>
    </row>
    <row r="396" spans="1:11" x14ac:dyDescent="0.3">
      <c r="A396" s="5" t="s">
        <v>5</v>
      </c>
      <c r="B396" s="5" t="str">
        <f t="shared" si="215"/>
        <v>SPS3</v>
      </c>
      <c r="C396" s="5" t="s">
        <v>7</v>
      </c>
      <c r="D396" t="s">
        <v>144</v>
      </c>
      <c r="E396" t="str">
        <f t="shared" si="204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2.6475866840731379E-3</v>
      </c>
      <c r="K396" s="1">
        <f>IFERROR(K168/SUM(K168,K207),0)*'[1]Electricity and CHPs_IN'!G$30</f>
        <v>0.29325427219766076</v>
      </c>
    </row>
    <row r="397" spans="1:11" x14ac:dyDescent="0.3">
      <c r="A397" s="5" t="s">
        <v>5</v>
      </c>
      <c r="B397" s="5" t="str">
        <f t="shared" si="215"/>
        <v>SPS3</v>
      </c>
      <c r="C397" s="5" t="s">
        <v>7</v>
      </c>
      <c r="D397" t="s">
        <v>145</v>
      </c>
      <c r="E397" t="str">
        <f t="shared" si="204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0</v>
      </c>
      <c r="J397" s="1">
        <f>IFERROR(J169/SUM(J169,J287),0)*'[1]Electricity and CHPs_IN'!F$46</f>
        <v>6.9947535098545165E-3</v>
      </c>
      <c r="K397" s="1">
        <f>IFERROR(K169/SUM(K169,K287),0)*'[1]Electricity and CHPs_IN'!G$46</f>
        <v>5.5033620763300579</v>
      </c>
    </row>
    <row r="398" spans="1:11" x14ac:dyDescent="0.3">
      <c r="A398" s="5" t="s">
        <v>5</v>
      </c>
      <c r="B398" s="5" t="str">
        <f t="shared" si="215"/>
        <v>SPS3</v>
      </c>
      <c r="C398" s="5" t="s">
        <v>7</v>
      </c>
      <c r="D398" t="s">
        <v>237</v>
      </c>
      <c r="E398" t="str">
        <f t="shared" si="204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2.2202745704052564E-3</v>
      </c>
      <c r="J398" s="1">
        <f>IFERROR(J170/SUM(J170,J288),0)*'[1]Electricity and CHPs_IN'!F$57</f>
        <v>5.2339809749963979E-3</v>
      </c>
      <c r="K398" s="1">
        <f>IFERROR(K170/SUM(K170,K288),0)*'[1]Electricity and CHPs_IN'!G$57</f>
        <v>3.5451508896235988E-2</v>
      </c>
    </row>
    <row r="399" spans="1:11" x14ac:dyDescent="0.3">
      <c r="A399" s="5" t="s">
        <v>5</v>
      </c>
      <c r="B399" s="5" t="str">
        <f t="shared" si="215"/>
        <v>SPS3</v>
      </c>
      <c r="C399" s="5" t="s">
        <v>7</v>
      </c>
      <c r="D399" t="s">
        <v>862</v>
      </c>
      <c r="E399" t="str">
        <f t="shared" si="204"/>
        <v>PJ/yr.</v>
      </c>
      <c r="F399" s="1">
        <f>SUM(F400:F406)</f>
        <v>0.28945279634616783</v>
      </c>
      <c r="G399" s="1">
        <f t="shared" ref="G399:K399" si="230">SUM(G400:G406)</f>
        <v>0.18730935247101796</v>
      </c>
      <c r="H399" s="1">
        <f t="shared" si="230"/>
        <v>0.28786376320015411</v>
      </c>
      <c r="I399" s="1">
        <f t="shared" si="230"/>
        <v>4.1146502475753251E-2</v>
      </c>
      <c r="J399" s="1">
        <f t="shared" si="230"/>
        <v>0.46044431505386474</v>
      </c>
      <c r="K399" s="1">
        <f t="shared" si="230"/>
        <v>0.87771041965253416</v>
      </c>
    </row>
    <row r="400" spans="1:11" x14ac:dyDescent="0.3">
      <c r="A400" s="5" t="s">
        <v>5</v>
      </c>
      <c r="B400" s="5" t="str">
        <f t="shared" si="215"/>
        <v>SPS3</v>
      </c>
      <c r="C400" s="5" t="s">
        <v>7</v>
      </c>
      <c r="D400" t="s">
        <v>146</v>
      </c>
      <c r="E400" t="str">
        <f t="shared" si="204"/>
        <v>PJ/yr.</v>
      </c>
      <c r="F400" s="1">
        <f>'[1]Electricity and CHPs_IN'!B63</f>
        <v>0.13702766512225123</v>
      </c>
      <c r="G400" s="1">
        <f>'[1]Electricity and CHPs_IN'!C63</f>
        <v>4.5901579956372771E-2</v>
      </c>
      <c r="H400" s="1">
        <f>'[1]Electricity and CHPs_IN'!D63</f>
        <v>0.13483766884888237</v>
      </c>
      <c r="I400" s="1">
        <f>'[1]Electricity and CHPs_IN'!E63</f>
        <v>5.6201464162444531E-4</v>
      </c>
      <c r="J400" s="1">
        <f>'[1]Electricity and CHPs_IN'!F63</f>
        <v>2.3203423242741501E-2</v>
      </c>
      <c r="K400" s="1">
        <f>'[1]Electricity and CHPs_IN'!G63</f>
        <v>3.2366647053907877E-2</v>
      </c>
    </row>
    <row r="401" spans="1:19" x14ac:dyDescent="0.3">
      <c r="A401" s="5" t="s">
        <v>5</v>
      </c>
      <c r="B401" s="5" t="str">
        <f t="shared" si="215"/>
        <v>SPS3</v>
      </c>
      <c r="C401" s="5" t="s">
        <v>7</v>
      </c>
      <c r="D401" t="s">
        <v>147</v>
      </c>
      <c r="E401" t="str">
        <f t="shared" si="204"/>
        <v>PJ/yr.</v>
      </c>
      <c r="F401" s="1">
        <f>'[1]Electricity and CHPs_IN'!B64</f>
        <v>4.2964544817360929E-2</v>
      </c>
      <c r="G401" s="1">
        <f>'[1]Electricity and CHPs_IN'!C64</f>
        <v>3.7913277250744927E-2</v>
      </c>
      <c r="H401" s="1">
        <f>'[1]Electricity and CHPs_IN'!D64</f>
        <v>4.2924755316471906E-2</v>
      </c>
      <c r="I401" s="1">
        <f>'[1]Electricity and CHPs_IN'!E64</f>
        <v>4.8848261339557789E-3</v>
      </c>
      <c r="J401" s="1">
        <f>'[1]Electricity and CHPs_IN'!F64</f>
        <v>4.8253057458014434E-2</v>
      </c>
      <c r="K401" s="1">
        <f>'[1]Electricity and CHPs_IN'!G64</f>
        <v>0.31852007867075249</v>
      </c>
    </row>
    <row r="402" spans="1:19" x14ac:dyDescent="0.3">
      <c r="A402" s="5" t="s">
        <v>5</v>
      </c>
      <c r="B402" s="5" t="str">
        <f t="shared" si="215"/>
        <v>SPS3</v>
      </c>
      <c r="C402" s="5" t="s">
        <v>7</v>
      </c>
      <c r="D402" t="s">
        <v>148</v>
      </c>
      <c r="E402" t="str">
        <f t="shared" si="204"/>
        <v>PJ/yr.</v>
      </c>
      <c r="F402" s="1">
        <f>'[1]Electricity and CHPs_IN'!B65</f>
        <v>3.7904880182755493E-2</v>
      </c>
      <c r="G402" s="1">
        <f>'[1]Electricity and CHPs_IN'!C65</f>
        <v>3.2334149950302093E-2</v>
      </c>
      <c r="H402" s="1">
        <f>'[1]Electricity and CHPs_IN'!D65</f>
        <v>3.8088998600021871E-2</v>
      </c>
      <c r="I402" s="1">
        <f>'[1]Electricity and CHPs_IN'!E65</f>
        <v>6.1711329415462968E-3</v>
      </c>
      <c r="J402" s="1">
        <f>'[1]Electricity and CHPs_IN'!F65</f>
        <v>5.2368947976144165E-2</v>
      </c>
      <c r="K402" s="1">
        <f>'[1]Electricity and CHPs_IN'!G65</f>
        <v>0.15067158893668228</v>
      </c>
    </row>
    <row r="403" spans="1:19" x14ac:dyDescent="0.3">
      <c r="A403" s="5" t="s">
        <v>5</v>
      </c>
      <c r="B403" s="5" t="str">
        <f t="shared" si="215"/>
        <v>SPS3</v>
      </c>
      <c r="C403" s="5" t="s">
        <v>7</v>
      </c>
      <c r="D403" t="s">
        <v>149</v>
      </c>
      <c r="E403" t="str">
        <f t="shared" si="204"/>
        <v>PJ/yr.</v>
      </c>
      <c r="F403" s="1">
        <f>'[1]Electricity and CHPs_IN'!B66</f>
        <v>1.1940924316586264E-2</v>
      </c>
      <c r="G403" s="1">
        <f>'[1]Electricity and CHPs_IN'!C66</f>
        <v>1.1875838085072562E-2</v>
      </c>
      <c r="H403" s="1">
        <f>'[1]Electricity and CHPs_IN'!D66</f>
        <v>1.2005436285344017E-2</v>
      </c>
      <c r="I403" s="1">
        <f>'[1]Electricity and CHPs_IN'!E66</f>
        <v>6.5687816407458731E-3</v>
      </c>
      <c r="J403" s="1">
        <f>'[1]Electricity and CHPs_IN'!F66</f>
        <v>8.0321234321038937E-2</v>
      </c>
      <c r="K403" s="1">
        <f>'[1]Electricity and CHPs_IN'!G66</f>
        <v>0.10569950363486154</v>
      </c>
    </row>
    <row r="404" spans="1:19" x14ac:dyDescent="0.3">
      <c r="A404" s="5" t="s">
        <v>5</v>
      </c>
      <c r="B404" s="5" t="str">
        <f t="shared" si="215"/>
        <v>SPS3</v>
      </c>
      <c r="C404" s="5" t="s">
        <v>7</v>
      </c>
      <c r="D404" t="s">
        <v>1854</v>
      </c>
      <c r="E404" t="str">
        <f t="shared" si="204"/>
        <v>PJ/yr.</v>
      </c>
      <c r="F404" s="1">
        <f>'[1]Electricity and CHPs_IN'!B67</f>
        <v>2.3820111552696144E-2</v>
      </c>
      <c r="G404" s="1">
        <f>'[1]Electricity and CHPs_IN'!C67</f>
        <v>2.3688251993378498E-2</v>
      </c>
      <c r="H404" s="1">
        <f>'[1]Electricity and CHPs_IN'!D67</f>
        <v>2.3985109846380394E-2</v>
      </c>
      <c r="I404" s="1">
        <f>'[1]Electricity and CHPs_IN'!E67</f>
        <v>8.220968548774665E-3</v>
      </c>
      <c r="J404" s="1">
        <f>'[1]Electricity and CHPs_IN'!F67</f>
        <v>9.3542309428052167E-2</v>
      </c>
      <c r="K404" s="1">
        <f>'[1]Electricity and CHPs_IN'!G67</f>
        <v>0.10279775759518035</v>
      </c>
    </row>
    <row r="405" spans="1:19" x14ac:dyDescent="0.3">
      <c r="A405" s="5" t="s">
        <v>5</v>
      </c>
      <c r="B405" s="5" t="str">
        <f t="shared" si="215"/>
        <v>SPS3</v>
      </c>
      <c r="C405" s="5" t="s">
        <v>7</v>
      </c>
      <c r="D405" t="s">
        <v>150</v>
      </c>
      <c r="E405" t="str">
        <f t="shared" si="204"/>
        <v>PJ/yr.</v>
      </c>
      <c r="F405" s="1">
        <f>'[1]Electricity and CHPs_IN'!B68</f>
        <v>2.3815880984976334E-2</v>
      </c>
      <c r="G405" s="1">
        <f>'[1]Electricity and CHPs_IN'!C68</f>
        <v>2.3683777299927503E-2</v>
      </c>
      <c r="H405" s="1">
        <f>'[1]Electricity and CHPs_IN'!D68</f>
        <v>2.3979697414913986E-2</v>
      </c>
      <c r="I405" s="1">
        <f>'[1]Electricity and CHPs_IN'!E68</f>
        <v>8.2118027136891102E-3</v>
      </c>
      <c r="J405" s="1">
        <f>'[1]Electricity and CHPs_IN'!F68</f>
        <v>9.4932493517926569E-2</v>
      </c>
      <c r="K405" s="1">
        <f>'[1]Electricity and CHPs_IN'!G68</f>
        <v>0.10284197299508838</v>
      </c>
    </row>
    <row r="406" spans="1:19" x14ac:dyDescent="0.3">
      <c r="A406" s="5" t="s">
        <v>5</v>
      </c>
      <c r="B406" s="5" t="str">
        <f t="shared" si="215"/>
        <v>SPS3</v>
      </c>
      <c r="C406" s="5" t="s">
        <v>7</v>
      </c>
      <c r="D406" t="s">
        <v>151</v>
      </c>
      <c r="E406" t="str">
        <f t="shared" si="204"/>
        <v>PJ/yr.</v>
      </c>
      <c r="F406" s="1">
        <f>'[1]Electricity and CHPs_IN'!B69</f>
        <v>1.1978789369541455E-2</v>
      </c>
      <c r="G406" s="1">
        <f>'[1]Electricity and CHPs_IN'!C69</f>
        <v>1.1912477935219639E-2</v>
      </c>
      <c r="H406" s="1">
        <f>'[1]Electricity and CHPs_IN'!D69</f>
        <v>1.2042096888139562E-2</v>
      </c>
      <c r="I406" s="1">
        <f>'[1]Electricity and CHPs_IN'!E69</f>
        <v>6.5269758554170835E-3</v>
      </c>
      <c r="J406" s="1">
        <f>'[1]Electricity and CHPs_IN'!F69</f>
        <v>6.7822849109946973E-2</v>
      </c>
      <c r="K406" s="1">
        <f>'[1]Electricity and CHPs_IN'!G69</f>
        <v>6.4812870766061112E-2</v>
      </c>
    </row>
    <row r="407" spans="1:19" x14ac:dyDescent="0.3">
      <c r="A407" s="5"/>
      <c r="B407" s="9" t="str">
        <f t="shared" si="215"/>
        <v>SPS3</v>
      </c>
      <c r="C407" s="2" t="str">
        <f t="shared" ref="C407" si="231">C406</f>
        <v>CH</v>
      </c>
      <c r="D407" s="2" t="s">
        <v>190</v>
      </c>
      <c r="E407" s="2" t="str">
        <f>E395</f>
        <v>PJ/yr.</v>
      </c>
      <c r="F407" s="3">
        <f>F408+F461</f>
        <v>56.387699844502023</v>
      </c>
      <c r="G407" s="3">
        <f t="shared" ref="G407:K407" si="232">G408+G461</f>
        <v>59.003875504606853</v>
      </c>
      <c r="H407" s="3">
        <f t="shared" si="232"/>
        <v>61.501253196416322</v>
      </c>
      <c r="I407" s="3">
        <f t="shared" si="232"/>
        <v>52.430314306950436</v>
      </c>
      <c r="J407" s="3">
        <f t="shared" si="232"/>
        <v>69.021018415271541</v>
      </c>
      <c r="K407" s="3">
        <f t="shared" si="232"/>
        <v>74.499191738952788</v>
      </c>
      <c r="M407" s="11"/>
      <c r="N407" s="11"/>
      <c r="O407" s="11"/>
      <c r="P407" s="11"/>
      <c r="Q407" s="11"/>
      <c r="R407" s="11"/>
      <c r="S407" s="11"/>
    </row>
    <row r="408" spans="1:19" x14ac:dyDescent="0.3">
      <c r="A408" s="5"/>
      <c r="B408" s="5" t="str">
        <f t="shared" si="215"/>
        <v>SPS3</v>
      </c>
      <c r="C408" s="5" t="s">
        <v>7</v>
      </c>
      <c r="D408" t="s">
        <v>863</v>
      </c>
      <c r="E408" t="str">
        <f>E396</f>
        <v>PJ/yr.</v>
      </c>
      <c r="F408" s="1">
        <f t="shared" ref="F408:K408" si="233">F409+F438</f>
        <v>47.927278162923407</v>
      </c>
      <c r="G408" s="1">
        <f t="shared" si="233"/>
        <v>50.36410879289172</v>
      </c>
      <c r="H408" s="1">
        <f t="shared" si="233"/>
        <v>51.226619943554439</v>
      </c>
      <c r="I408" s="1">
        <f t="shared" si="233"/>
        <v>41.481325789882945</v>
      </c>
      <c r="J408" s="1">
        <f t="shared" si="233"/>
        <v>41.694088264242382</v>
      </c>
      <c r="K408" s="1">
        <f t="shared" si="233"/>
        <v>49.219831874584372</v>
      </c>
      <c r="M408" s="11"/>
      <c r="N408" s="11"/>
      <c r="O408" s="11"/>
      <c r="P408" s="11"/>
      <c r="Q408" s="11"/>
      <c r="R408" s="11"/>
      <c r="S408" s="11"/>
    </row>
    <row r="409" spans="1:19" x14ac:dyDescent="0.3">
      <c r="A409" s="5"/>
      <c r="B409" s="5" t="str">
        <f t="shared" si="215"/>
        <v>SPS3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39.74532816724728</v>
      </c>
      <c r="G409" s="1">
        <f t="shared" ref="G409:K409" si="234">SUM(G410,G416,G425,G434,G436)</f>
        <v>34.064694059017462</v>
      </c>
      <c r="H409" s="1">
        <f t="shared" si="234"/>
        <v>34.981201897721483</v>
      </c>
      <c r="I409" s="1">
        <f t="shared" si="234"/>
        <v>35.780179005392952</v>
      </c>
      <c r="J409" s="1">
        <f t="shared" si="234"/>
        <v>36.956420570021322</v>
      </c>
      <c r="K409" s="1">
        <f t="shared" si="234"/>
        <v>39.882089657289526</v>
      </c>
    </row>
    <row r="410" spans="1:19" x14ac:dyDescent="0.3">
      <c r="A410" s="5"/>
      <c r="B410" s="5" t="str">
        <f t="shared" si="215"/>
        <v>SPS3</v>
      </c>
      <c r="C410" s="5" t="s">
        <v>7</v>
      </c>
      <c r="D410" t="s">
        <v>865</v>
      </c>
      <c r="E410" t="s">
        <v>8</v>
      </c>
      <c r="F410" s="1">
        <f>F411</f>
        <v>6.6510859733099739E-2</v>
      </c>
      <c r="G410" s="1">
        <f t="shared" ref="G410:K410" si="235">G411</f>
        <v>4.9125349991444274E-3</v>
      </c>
      <c r="H410" s="1">
        <f t="shared" si="235"/>
        <v>2.8820681606312699E-2</v>
      </c>
      <c r="I410" s="1">
        <f t="shared" si="235"/>
        <v>1.8355565107340141E-2</v>
      </c>
      <c r="J410" s="1">
        <f t="shared" si="235"/>
        <v>6.2933855632537009E-3</v>
      </c>
      <c r="K410" s="1">
        <f t="shared" si="235"/>
        <v>8.5608846205810133E-5</v>
      </c>
    </row>
    <row r="411" spans="1:19" x14ac:dyDescent="0.3">
      <c r="A411" s="5"/>
      <c r="B411" s="5" t="str">
        <f t="shared" si="215"/>
        <v>SPS3</v>
      </c>
      <c r="C411" s="5" t="s">
        <v>7</v>
      </c>
      <c r="D411" t="s">
        <v>231</v>
      </c>
      <c r="E411" t="s">
        <v>8</v>
      </c>
      <c r="F411" s="1">
        <f>'[1]Electricity and CHPs_IN'!B$28-F298</f>
        <v>6.6510859733099739E-2</v>
      </c>
      <c r="G411" s="1">
        <f>'[1]Electricity and CHPs_IN'!C$28-G298</f>
        <v>4.9125349991444274E-3</v>
      </c>
      <c r="H411" s="1">
        <f>'[1]Electricity and CHPs_IN'!D$28-H298</f>
        <v>2.8820681606312699E-2</v>
      </c>
      <c r="I411" s="1">
        <f>'[1]Electricity and CHPs_IN'!E$28-I298</f>
        <v>1.8355565107340141E-2</v>
      </c>
      <c r="J411" s="1">
        <f>'[1]Electricity and CHPs_IN'!F$28-J298</f>
        <v>6.2933855632537009E-3</v>
      </c>
      <c r="K411" s="1">
        <f>'[1]Electricity and CHPs_IN'!G$28-K298</f>
        <v>8.5608846205810133E-5</v>
      </c>
    </row>
    <row r="412" spans="1:19" x14ac:dyDescent="0.3">
      <c r="A412" s="5"/>
      <c r="B412" s="5" t="str">
        <f t="shared" si="215"/>
        <v>SPS3</v>
      </c>
      <c r="C412" s="5" t="s">
        <v>7</v>
      </c>
      <c r="D412" t="s">
        <v>866</v>
      </c>
      <c r="E412" t="s">
        <v>8</v>
      </c>
      <c r="F412" s="1">
        <f>F413</f>
        <v>6.6510859733099739E-2</v>
      </c>
      <c r="G412" s="1">
        <f t="shared" ref="G412:K412" si="236">G413</f>
        <v>4.9125349991444274E-3</v>
      </c>
      <c r="H412" s="1">
        <f t="shared" si="236"/>
        <v>2.8820681606312699E-2</v>
      </c>
      <c r="I412" s="1">
        <f t="shared" si="236"/>
        <v>1.8355565107340141E-2</v>
      </c>
      <c r="J412" s="1">
        <f t="shared" si="236"/>
        <v>6.2933855632537009E-3</v>
      </c>
      <c r="K412" s="1">
        <f t="shared" si="236"/>
        <v>8.5608846205810133E-5</v>
      </c>
    </row>
    <row r="413" spans="1:19" x14ac:dyDescent="0.3">
      <c r="A413" s="5"/>
      <c r="B413" s="5" t="str">
        <f t="shared" si="215"/>
        <v>SPS3</v>
      </c>
      <c r="C413" s="5" t="s">
        <v>7</v>
      </c>
      <c r="D413" t="s">
        <v>523</v>
      </c>
      <c r="E413" t="s">
        <v>8</v>
      </c>
      <c r="F413" s="1">
        <f>F411-F415</f>
        <v>6.6510859733099739E-2</v>
      </c>
      <c r="G413" s="1">
        <f t="shared" ref="G413:K413" si="237">G411-G415</f>
        <v>4.9125349991444274E-3</v>
      </c>
      <c r="H413" s="1">
        <f t="shared" si="237"/>
        <v>2.8820681606312699E-2</v>
      </c>
      <c r="I413" s="1">
        <f t="shared" si="237"/>
        <v>1.8355565107340141E-2</v>
      </c>
      <c r="J413" s="1">
        <f t="shared" si="237"/>
        <v>6.2933855632537009E-3</v>
      </c>
      <c r="K413" s="1">
        <f t="shared" si="237"/>
        <v>8.5608846205810133E-5</v>
      </c>
    </row>
    <row r="414" spans="1:19" x14ac:dyDescent="0.3">
      <c r="A414" s="5"/>
      <c r="B414" s="5" t="str">
        <f t="shared" si="215"/>
        <v>SPS3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38">G415</f>
        <v>0</v>
      </c>
      <c r="H414" s="1">
        <f t="shared" si="238"/>
        <v>0</v>
      </c>
      <c r="I414" s="1">
        <f t="shared" si="238"/>
        <v>0</v>
      </c>
      <c r="J414" s="1">
        <f t="shared" si="238"/>
        <v>0</v>
      </c>
      <c r="K414" s="1">
        <f t="shared" si="238"/>
        <v>0</v>
      </c>
    </row>
    <row r="415" spans="1:19" x14ac:dyDescent="0.3">
      <c r="A415" s="5"/>
      <c r="B415" s="5" t="str">
        <f t="shared" si="215"/>
        <v>SPS3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39">IFERROR(G306/G298,0)*G411</f>
        <v>0</v>
      </c>
      <c r="H415" s="1">
        <f t="shared" si="239"/>
        <v>0</v>
      </c>
      <c r="I415" s="1">
        <f t="shared" si="239"/>
        <v>0</v>
      </c>
      <c r="J415" s="1">
        <f t="shared" si="239"/>
        <v>0</v>
      </c>
      <c r="K415" s="1">
        <f t="shared" si="239"/>
        <v>0</v>
      </c>
    </row>
    <row r="416" spans="1:19" x14ac:dyDescent="0.3">
      <c r="A416" s="5"/>
      <c r="B416" s="5" t="str">
        <f t="shared" si="215"/>
        <v>SPS3</v>
      </c>
      <c r="C416" s="5" t="s">
        <v>7</v>
      </c>
      <c r="D416" t="s">
        <v>868</v>
      </c>
      <c r="E416" t="s">
        <v>8</v>
      </c>
      <c r="F416" s="1">
        <f>SUM(F417:F418)</f>
        <v>2.5117025215719062</v>
      </c>
      <c r="G416" s="1">
        <f t="shared" ref="G416:K416" si="240">SUM(G417:G418)</f>
        <v>2.7185000063407365E-3</v>
      </c>
      <c r="H416" s="1">
        <f t="shared" si="240"/>
        <v>3.2711335925797613E-2</v>
      </c>
      <c r="I416" s="1">
        <f t="shared" si="240"/>
        <v>4.0490037110590846E-4</v>
      </c>
      <c r="J416" s="1">
        <f t="shared" si="240"/>
        <v>2.3111901982293872E-2</v>
      </c>
      <c r="K416" s="1">
        <f t="shared" si="240"/>
        <v>2.1429908558798623E-2</v>
      </c>
    </row>
    <row r="417" spans="1:11" x14ac:dyDescent="0.3">
      <c r="A417" s="5"/>
      <c r="B417" s="5" t="str">
        <f t="shared" si="215"/>
        <v>SPS3</v>
      </c>
      <c r="C417" s="5" t="s">
        <v>7</v>
      </c>
      <c r="D417" t="s">
        <v>191</v>
      </c>
      <c r="E417" t="s">
        <v>8</v>
      </c>
      <c r="F417" s="1">
        <f>'[1]Electricity and CHPs_IN'!B$24-F312</f>
        <v>2.5117025215719062</v>
      </c>
      <c r="G417" s="1">
        <f>'[1]Electricity and CHPs_IN'!C$24-G312</f>
        <v>2.7185000063407365E-3</v>
      </c>
      <c r="H417" s="1">
        <f>'[1]Electricity and CHPs_IN'!D$24-H312</f>
        <v>3.2711335925797613E-2</v>
      </c>
      <c r="I417" s="1">
        <f>'[1]Electricity and CHPs_IN'!E$24-I312</f>
        <v>4.0490037110590846E-4</v>
      </c>
      <c r="J417" s="1">
        <f>'[1]Electricity and CHPs_IN'!F$24-J312</f>
        <v>1.0655361790304768E-2</v>
      </c>
      <c r="K417" s="1">
        <f>'[1]Electricity and CHPs_IN'!G$24-K312</f>
        <v>7.910525116042344E-3</v>
      </c>
    </row>
    <row r="418" spans="1:11" x14ac:dyDescent="0.3">
      <c r="A418" s="5"/>
      <c r="B418" s="5" t="str">
        <f t="shared" si="215"/>
        <v>SPS3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1.2456540191989104E-2</v>
      </c>
      <c r="K418" s="1">
        <f>'[1]Electricity and CHPs_IN'!G$29-K313</f>
        <v>1.3519383442756277E-2</v>
      </c>
    </row>
    <row r="419" spans="1:11" x14ac:dyDescent="0.3">
      <c r="A419" s="5"/>
      <c r="B419" s="5" t="str">
        <f t="shared" si="215"/>
        <v>SPS3</v>
      </c>
      <c r="C419" s="5" t="s">
        <v>7</v>
      </c>
      <c r="D419" t="s">
        <v>869</v>
      </c>
      <c r="E419" t="s">
        <v>8</v>
      </c>
      <c r="F419" s="1">
        <f>SUM(F420:F421)</f>
        <v>2.4466492131187518</v>
      </c>
      <c r="G419" s="1">
        <f t="shared" ref="G419:K419" si="241">SUM(G420:G421)</f>
        <v>2.6825818396229713E-3</v>
      </c>
      <c r="H419" s="1">
        <f t="shared" si="241"/>
        <v>2.7885152171664537E-2</v>
      </c>
      <c r="I419" s="1">
        <f t="shared" si="241"/>
        <v>4.0451440758757081E-4</v>
      </c>
      <c r="J419" s="1">
        <f t="shared" si="241"/>
        <v>2.0519775067887332E-2</v>
      </c>
      <c r="K419" s="1">
        <f t="shared" si="241"/>
        <v>5.1642314810659215E-3</v>
      </c>
    </row>
    <row r="420" spans="1:11" x14ac:dyDescent="0.3">
      <c r="A420" s="5"/>
      <c r="B420" s="5" t="str">
        <f t="shared" si="215"/>
        <v>SPS3</v>
      </c>
      <c r="C420" s="5" t="s">
        <v>7</v>
      </c>
      <c r="D420" t="s">
        <v>594</v>
      </c>
      <c r="E420" t="s">
        <v>8</v>
      </c>
      <c r="F420" s="1">
        <f>F417-F423</f>
        <v>2.4466492131187518</v>
      </c>
      <c r="G420" s="1">
        <f t="shared" ref="G420:K420" si="242">G417-G423</f>
        <v>2.6825818396229713E-3</v>
      </c>
      <c r="H420" s="1">
        <f t="shared" si="242"/>
        <v>2.7885152171664537E-2</v>
      </c>
      <c r="I420" s="1">
        <f t="shared" si="242"/>
        <v>4.0451440758757081E-4</v>
      </c>
      <c r="J420" s="1">
        <f t="shared" si="242"/>
        <v>9.4603043648904574E-3</v>
      </c>
      <c r="K420" s="1">
        <f t="shared" si="242"/>
        <v>1.9062975805025414E-3</v>
      </c>
    </row>
    <row r="421" spans="1:11" x14ac:dyDescent="0.3">
      <c r="A421" s="5"/>
      <c r="B421" s="5" t="str">
        <f t="shared" si="215"/>
        <v>SPS3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43">G418-G424</f>
        <v>0</v>
      </c>
      <c r="H421" s="1">
        <f t="shared" si="243"/>
        <v>0</v>
      </c>
      <c r="I421" s="1">
        <f t="shared" si="243"/>
        <v>0</v>
      </c>
      <c r="J421" s="1">
        <f t="shared" si="243"/>
        <v>1.1059470702996876E-2</v>
      </c>
      <c r="K421" s="1">
        <f t="shared" si="243"/>
        <v>3.2579339005633801E-3</v>
      </c>
    </row>
    <row r="422" spans="1:11" x14ac:dyDescent="0.3">
      <c r="A422" s="5"/>
      <c r="B422" s="5" t="str">
        <f t="shared" si="215"/>
        <v>SPS3</v>
      </c>
      <c r="C422" s="5" t="s">
        <v>7</v>
      </c>
      <c r="D422" t="s">
        <v>870</v>
      </c>
      <c r="E422" t="s">
        <v>8</v>
      </c>
      <c r="F422" s="1">
        <f>SUM(F423:F424)</f>
        <v>6.5053308453154421E-2</v>
      </c>
      <c r="G422" s="1">
        <f t="shared" ref="G422:K422" si="244">SUM(G423:G424)</f>
        <v>3.5918166717765072E-5</v>
      </c>
      <c r="H422" s="1">
        <f t="shared" si="244"/>
        <v>4.8261837541330767E-3</v>
      </c>
      <c r="I422" s="1">
        <f t="shared" si="244"/>
        <v>3.8596351833762416E-7</v>
      </c>
      <c r="J422" s="1">
        <f t="shared" si="244"/>
        <v>2.5921269144065389E-3</v>
      </c>
      <c r="K422" s="1">
        <f t="shared" si="244"/>
        <v>1.6265677077732701E-2</v>
      </c>
    </row>
    <row r="423" spans="1:11" x14ac:dyDescent="0.3">
      <c r="A423" s="5"/>
      <c r="B423" s="5" t="str">
        <f t="shared" si="215"/>
        <v>SPS3</v>
      </c>
      <c r="C423" s="5" t="s">
        <v>7</v>
      </c>
      <c r="D423" t="s">
        <v>655</v>
      </c>
      <c r="E423" t="s">
        <v>8</v>
      </c>
      <c r="F423" s="1">
        <f>IFERROR(F344/F312,0)*F417</f>
        <v>6.5053308453154421E-2</v>
      </c>
      <c r="G423" s="1">
        <f t="shared" ref="G423:K423" si="245">IFERROR(G344/G312,0)*G417</f>
        <v>3.5918166717765072E-5</v>
      </c>
      <c r="H423" s="1">
        <f t="shared" si="245"/>
        <v>4.8261837541330767E-3</v>
      </c>
      <c r="I423" s="1">
        <f t="shared" si="245"/>
        <v>3.8596351833762416E-7</v>
      </c>
      <c r="J423" s="1">
        <f t="shared" si="245"/>
        <v>1.1950574254143114E-3</v>
      </c>
      <c r="K423" s="1">
        <f t="shared" si="245"/>
        <v>6.0042275355398026E-3</v>
      </c>
    </row>
    <row r="424" spans="1:11" x14ac:dyDescent="0.3">
      <c r="A424" s="5"/>
      <c r="B424" s="5" t="str">
        <f t="shared" si="215"/>
        <v>SPS3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46">IFERROR(G345/G313,0)*G418</f>
        <v>0</v>
      </c>
      <c r="H424" s="1">
        <f t="shared" si="246"/>
        <v>0</v>
      </c>
      <c r="I424" s="1">
        <f t="shared" si="246"/>
        <v>0</v>
      </c>
      <c r="J424" s="1">
        <f t="shared" si="246"/>
        <v>1.3970694889922275E-3</v>
      </c>
      <c r="K424" s="1">
        <f t="shared" si="246"/>
        <v>1.0261449542192897E-2</v>
      </c>
    </row>
    <row r="425" spans="1:11" x14ac:dyDescent="0.3">
      <c r="A425" s="5"/>
      <c r="B425" s="5" t="str">
        <f t="shared" si="215"/>
        <v>SPS3</v>
      </c>
      <c r="C425" s="5" t="s">
        <v>7</v>
      </c>
      <c r="D425" t="s">
        <v>871</v>
      </c>
      <c r="E425" t="s">
        <v>8</v>
      </c>
      <c r="F425" s="1">
        <f>SUM(F426:F427)</f>
        <v>35.838163405182662</v>
      </c>
      <c r="G425" s="1">
        <f t="shared" ref="G425:K425" si="247">SUM(G426:G427)</f>
        <v>33.784072061207972</v>
      </c>
      <c r="H425" s="1">
        <f t="shared" si="247"/>
        <v>33.829848175560464</v>
      </c>
      <c r="I425" s="1">
        <f t="shared" si="247"/>
        <v>35.757484104603485</v>
      </c>
      <c r="J425" s="1">
        <f t="shared" si="247"/>
        <v>34.16226883446658</v>
      </c>
      <c r="K425" s="1">
        <f t="shared" si="247"/>
        <v>35.720338525217223</v>
      </c>
    </row>
    <row r="426" spans="1:11" x14ac:dyDescent="0.3">
      <c r="A426" s="5"/>
      <c r="B426" s="5" t="str">
        <f t="shared" si="215"/>
        <v>SPS3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35.838163405182662</v>
      </c>
      <c r="G426" s="1">
        <f>'[1]Electricity and CHPs_IN'!C$26-G359</f>
        <v>33.784072061207972</v>
      </c>
      <c r="H426" s="1">
        <f>'[1]Electricity and CHPs_IN'!D$26-H359</f>
        <v>33.829848175560464</v>
      </c>
      <c r="I426" s="1">
        <f>'[1]Electricity and CHPs_IN'!E$26-I359</f>
        <v>35.757484104603485</v>
      </c>
      <c r="J426" s="1">
        <f>'[1]Electricity and CHPs_IN'!F$26-J359</f>
        <v>32.973863883719851</v>
      </c>
      <c r="K426" s="1">
        <f>'[1]Electricity and CHPs_IN'!G$26-K359</f>
        <v>23.876489033613559</v>
      </c>
    </row>
    <row r="427" spans="1:11" x14ac:dyDescent="0.3">
      <c r="A427" s="5"/>
      <c r="B427" s="5" t="str">
        <f t="shared" si="215"/>
        <v>SPS3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1.1884049507467316</v>
      </c>
      <c r="K427" s="1">
        <f>'[1]Electricity and CHPs_IN'!G$27-K360</f>
        <v>11.843849491603663</v>
      </c>
    </row>
    <row r="428" spans="1:11" x14ac:dyDescent="0.3">
      <c r="A428" s="5"/>
      <c r="B428" s="5" t="str">
        <f t="shared" si="215"/>
        <v>SPS3</v>
      </c>
      <c r="C428" s="5" t="s">
        <v>7</v>
      </c>
      <c r="D428" t="s">
        <v>872</v>
      </c>
      <c r="E428" t="s">
        <v>8</v>
      </c>
      <c r="F428" s="1">
        <f>SUM(F429:F430)</f>
        <v>17.919081702591331</v>
      </c>
      <c r="G428" s="1">
        <f t="shared" ref="G428:K428" si="248">SUM(G429:G430)</f>
        <v>16.892036030603986</v>
      </c>
      <c r="H428" s="1">
        <f t="shared" si="248"/>
        <v>16.914924087780232</v>
      </c>
      <c r="I428" s="1">
        <f t="shared" si="248"/>
        <v>17.878742052301746</v>
      </c>
      <c r="J428" s="1">
        <f t="shared" si="248"/>
        <v>17.08113441723329</v>
      </c>
      <c r="K428" s="1">
        <f t="shared" si="248"/>
        <v>17.860169262608611</v>
      </c>
    </row>
    <row r="429" spans="1:11" x14ac:dyDescent="0.3">
      <c r="A429" s="5"/>
      <c r="B429" s="5" t="str">
        <f t="shared" si="215"/>
        <v>SPS3</v>
      </c>
      <c r="C429" s="5" t="s">
        <v>7</v>
      </c>
      <c r="D429" t="s">
        <v>195</v>
      </c>
      <c r="E429" t="s">
        <v>8</v>
      </c>
      <c r="F429" s="1">
        <f>IFERROR(F366/F359,0)*F426</f>
        <v>17.919081702591331</v>
      </c>
      <c r="G429" s="1">
        <f t="shared" ref="G429:K429" si="249">IFERROR(G366/G359,0)*G426</f>
        <v>16.892036030603986</v>
      </c>
      <c r="H429" s="1">
        <f t="shared" si="249"/>
        <v>16.914924087780232</v>
      </c>
      <c r="I429" s="1">
        <f t="shared" si="249"/>
        <v>17.878742052301746</v>
      </c>
      <c r="J429" s="1">
        <f t="shared" si="249"/>
        <v>16.486931941859925</v>
      </c>
      <c r="K429" s="1">
        <f t="shared" si="249"/>
        <v>11.93824451680678</v>
      </c>
    </row>
    <row r="430" spans="1:11" x14ac:dyDescent="0.3">
      <c r="A430" s="5"/>
      <c r="B430" s="5" t="str">
        <f t="shared" si="215"/>
        <v>SPS3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0">IFERROR(G367/G360,0)*G427</f>
        <v>0</v>
      </c>
      <c r="H430" s="1">
        <f t="shared" si="250"/>
        <v>0</v>
      </c>
      <c r="I430" s="1">
        <f t="shared" si="250"/>
        <v>0</v>
      </c>
      <c r="J430" s="1">
        <f t="shared" si="250"/>
        <v>0.59420247537336579</v>
      </c>
      <c r="K430" s="1">
        <f t="shared" si="250"/>
        <v>5.9219247458018325</v>
      </c>
    </row>
    <row r="431" spans="1:11" x14ac:dyDescent="0.3">
      <c r="A431" s="5"/>
      <c r="B431" s="5" t="str">
        <f t="shared" si="215"/>
        <v>SPS3</v>
      </c>
      <c r="C431" s="5" t="s">
        <v>7</v>
      </c>
      <c r="D431" t="s">
        <v>873</v>
      </c>
      <c r="E431" t="s">
        <v>8</v>
      </c>
      <c r="F431" s="1">
        <f>SUM(F432:F433)</f>
        <v>17.919081702591331</v>
      </c>
      <c r="G431" s="1">
        <f t="shared" ref="G431:K431" si="251">SUM(G432:G433)</f>
        <v>16.892036030603986</v>
      </c>
      <c r="H431" s="1">
        <f t="shared" si="251"/>
        <v>16.914924087780232</v>
      </c>
      <c r="I431" s="1">
        <f t="shared" si="251"/>
        <v>17.878742052301739</v>
      </c>
      <c r="J431" s="1">
        <f t="shared" si="251"/>
        <v>17.08113441723329</v>
      </c>
      <c r="K431" s="1">
        <f t="shared" si="251"/>
        <v>17.860169262608611</v>
      </c>
    </row>
    <row r="432" spans="1:11" x14ac:dyDescent="0.3">
      <c r="A432" s="5"/>
      <c r="B432" s="5" t="str">
        <f t="shared" si="215"/>
        <v>SPS3</v>
      </c>
      <c r="C432" s="5" t="s">
        <v>7</v>
      </c>
      <c r="D432" t="s">
        <v>197</v>
      </c>
      <c r="E432" t="s">
        <v>8</v>
      </c>
      <c r="F432" s="1">
        <f>F426-F429</f>
        <v>17.919081702591331</v>
      </c>
      <c r="G432" s="1">
        <f t="shared" ref="G432:K432" si="252">G426-G429</f>
        <v>16.892036030603986</v>
      </c>
      <c r="H432" s="1">
        <f t="shared" si="252"/>
        <v>16.914924087780232</v>
      </c>
      <c r="I432" s="1">
        <f t="shared" si="252"/>
        <v>17.878742052301739</v>
      </c>
      <c r="J432" s="1">
        <f t="shared" si="252"/>
        <v>16.486931941859925</v>
      </c>
      <c r="K432" s="1">
        <f t="shared" si="252"/>
        <v>11.93824451680678</v>
      </c>
    </row>
    <row r="433" spans="1:11" x14ac:dyDescent="0.3">
      <c r="A433" s="5"/>
      <c r="B433" s="5" t="str">
        <f t="shared" si="215"/>
        <v>SPS3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53">G427-G430</f>
        <v>0</v>
      </c>
      <c r="H433" s="1">
        <f t="shared" si="253"/>
        <v>0</v>
      </c>
      <c r="I433" s="1">
        <f t="shared" si="253"/>
        <v>0</v>
      </c>
      <c r="J433" s="1">
        <f t="shared" si="253"/>
        <v>0.59420247537336579</v>
      </c>
      <c r="K433" s="1">
        <f t="shared" si="253"/>
        <v>5.9219247458018307</v>
      </c>
    </row>
    <row r="434" spans="1:11" x14ac:dyDescent="0.3">
      <c r="A434" s="5"/>
      <c r="B434" s="5" t="str">
        <f t="shared" si="215"/>
        <v>SPS3</v>
      </c>
      <c r="C434" s="5" t="s">
        <v>7</v>
      </c>
      <c r="D434" t="s">
        <v>874</v>
      </c>
      <c r="E434" t="s">
        <v>8</v>
      </c>
      <c r="F434" s="1">
        <f>F435</f>
        <v>1.3289513807596132</v>
      </c>
      <c r="G434" s="1">
        <f t="shared" ref="G434:K434" si="254">G435</f>
        <v>0.27299096280400115</v>
      </c>
      <c r="H434" s="1">
        <f t="shared" si="254"/>
        <v>1.0898217046289074</v>
      </c>
      <c r="I434" s="1">
        <f t="shared" si="254"/>
        <v>3.934435311022156E-3</v>
      </c>
      <c r="J434" s="1">
        <f t="shared" si="254"/>
        <v>2.761531521321384</v>
      </c>
      <c r="K434" s="1">
        <f t="shared" si="254"/>
        <v>3.7701766521321582</v>
      </c>
    </row>
    <row r="435" spans="1:11" x14ac:dyDescent="0.3">
      <c r="A435" s="5"/>
      <c r="B435" s="5" t="str">
        <f t="shared" si="215"/>
        <v>SPS3</v>
      </c>
      <c r="C435" s="5" t="s">
        <v>7</v>
      </c>
      <c r="D435" t="s">
        <v>199</v>
      </c>
      <c r="E435" t="s">
        <v>8</v>
      </c>
      <c r="F435" s="1">
        <f>'[1]Electricity and CHPs_IN'!B$25-F378</f>
        <v>1.3289513807596132</v>
      </c>
      <c r="G435" s="1">
        <f>'[1]Electricity and CHPs_IN'!C$25-G378</f>
        <v>0.27299096280400115</v>
      </c>
      <c r="H435" s="1">
        <f>'[1]Electricity and CHPs_IN'!D$25-H378</f>
        <v>1.0898217046289074</v>
      </c>
      <c r="I435" s="1">
        <f>'[1]Electricity and CHPs_IN'!E$25-I378</f>
        <v>3.934435311022156E-3</v>
      </c>
      <c r="J435" s="1">
        <f>'[1]Electricity and CHPs_IN'!F$25-J378</f>
        <v>2.761531521321384</v>
      </c>
      <c r="K435" s="1">
        <f>'[1]Electricity and CHPs_IN'!G$25-K378</f>
        <v>3.7701766521321582</v>
      </c>
    </row>
    <row r="436" spans="1:11" x14ac:dyDescent="0.3">
      <c r="A436" s="5"/>
      <c r="B436" s="5" t="str">
        <f t="shared" ref="B436:B499" si="255">B435</f>
        <v>SPS3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56">+G437</f>
        <v>0</v>
      </c>
      <c r="H436" s="1">
        <f t="shared" si="256"/>
        <v>0</v>
      </c>
      <c r="I436" s="1">
        <f t="shared" si="256"/>
        <v>0</v>
      </c>
      <c r="J436" s="1">
        <f t="shared" si="256"/>
        <v>3.2149266878030817E-3</v>
      </c>
      <c r="K436" s="1">
        <f t="shared" si="256"/>
        <v>0.37005896253514303</v>
      </c>
    </row>
    <row r="437" spans="1:11" x14ac:dyDescent="0.3">
      <c r="A437" s="5"/>
      <c r="B437" s="5" t="str">
        <f t="shared" si="255"/>
        <v>SPS3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3.2149266878030817E-3</v>
      </c>
      <c r="K437" s="1">
        <f>'[1]Electricity and CHPs_IN'!G$30-K396</f>
        <v>0.37005896253514303</v>
      </c>
    </row>
    <row r="438" spans="1:11" x14ac:dyDescent="0.3">
      <c r="A438" s="5"/>
      <c r="B438" s="5" t="str">
        <f t="shared" si="255"/>
        <v>SPS3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8.1819499956761295</v>
      </c>
      <c r="G438" s="1">
        <f t="shared" ref="G438:K438" si="257">SUM(G439,G445,G447,G453,G455,G457,G459)</f>
        <v>16.299414733874258</v>
      </c>
      <c r="H438" s="1">
        <f t="shared" si="257"/>
        <v>16.24541804583296</v>
      </c>
      <c r="I438" s="1">
        <f t="shared" si="257"/>
        <v>5.701146784489989</v>
      </c>
      <c r="J438" s="1">
        <f t="shared" si="257"/>
        <v>4.7376676942210612</v>
      </c>
      <c r="K438" s="1">
        <f t="shared" si="257"/>
        <v>9.3377422172948421</v>
      </c>
    </row>
    <row r="439" spans="1:11" x14ac:dyDescent="0.3">
      <c r="A439" s="5"/>
      <c r="B439" s="5" t="str">
        <f t="shared" si="255"/>
        <v>SPS3</v>
      </c>
      <c r="C439" s="5" t="s">
        <v>7</v>
      </c>
      <c r="D439" t="s">
        <v>877</v>
      </c>
      <c r="E439" t="str">
        <f>E396</f>
        <v>PJ/yr.</v>
      </c>
      <c r="F439" s="1">
        <f>+F440</f>
        <v>4.3960393619637879</v>
      </c>
      <c r="G439" s="1">
        <f t="shared" ref="G439:K439" si="258">+G440</f>
        <v>9.5230798041953175</v>
      </c>
      <c r="H439" s="1">
        <f t="shared" si="258"/>
        <v>9.8832407289428161</v>
      </c>
      <c r="I439" s="1">
        <f t="shared" si="258"/>
        <v>2.1602215260395336E-4</v>
      </c>
      <c r="J439" s="1">
        <f t="shared" si="258"/>
        <v>0.20951114465267187</v>
      </c>
      <c r="K439" s="1">
        <f t="shared" si="258"/>
        <v>4.7193580095224252</v>
      </c>
    </row>
    <row r="440" spans="1:11" x14ac:dyDescent="0.3">
      <c r="A440" s="5"/>
      <c r="B440" s="5" t="str">
        <f t="shared" si="255"/>
        <v>SPS3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4.3960393619637879</v>
      </c>
      <c r="G440" s="1">
        <f t="shared" ref="G440:K440" si="259">SUM(G442:G444)</f>
        <v>9.5230798041953175</v>
      </c>
      <c r="H440" s="1">
        <f t="shared" si="259"/>
        <v>9.8832407289428161</v>
      </c>
      <c r="I440" s="1">
        <f t="shared" si="259"/>
        <v>2.1602215260395336E-4</v>
      </c>
      <c r="J440" s="1">
        <f t="shared" si="259"/>
        <v>0.20951114465267187</v>
      </c>
      <c r="K440" s="1">
        <f t="shared" si="259"/>
        <v>4.7193580095224252</v>
      </c>
    </row>
    <row r="441" spans="1:11" x14ac:dyDescent="0.3">
      <c r="A441" s="5"/>
      <c r="B441" s="5" t="str">
        <f t="shared" si="255"/>
        <v>SPS3</v>
      </c>
      <c r="C441" s="5" t="s">
        <v>7</v>
      </c>
      <c r="D441" t="s">
        <v>878</v>
      </c>
      <c r="E441" t="str">
        <f>E396</f>
        <v>PJ/yr.</v>
      </c>
      <c r="F441" s="1">
        <f>F442</f>
        <v>2.0281192776027943</v>
      </c>
      <c r="G441" s="1">
        <f t="shared" ref="G441:K441" si="260">G442</f>
        <v>1.2901160057308354</v>
      </c>
      <c r="H441" s="1">
        <f t="shared" si="260"/>
        <v>1.3079413058820757</v>
      </c>
      <c r="I441" s="1">
        <f t="shared" si="260"/>
        <v>2.0532217513126054E-5</v>
      </c>
      <c r="J441" s="1">
        <f t="shared" si="260"/>
        <v>8.2747007991598406E-4</v>
      </c>
      <c r="K441" s="1">
        <f t="shared" si="260"/>
        <v>8.8659602396557239E-4</v>
      </c>
    </row>
    <row r="442" spans="1:11" x14ac:dyDescent="0.3">
      <c r="A442" s="5"/>
      <c r="B442" s="5" t="str">
        <f t="shared" si="255"/>
        <v>SPS3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2.0281192776027943</v>
      </c>
      <c r="G442" s="1">
        <f>'[1]Electricity and CHPs_IN'!C$90</f>
        <v>1.2901160057308354</v>
      </c>
      <c r="H442" s="1">
        <f>'[1]Electricity and CHPs_IN'!D$90</f>
        <v>1.3079413058820757</v>
      </c>
      <c r="I442" s="1">
        <f>'[1]Electricity and CHPs_IN'!E$90</f>
        <v>2.0532217513126054E-5</v>
      </c>
      <c r="J442" s="1">
        <f>'[1]Electricity and CHPs_IN'!F$90</f>
        <v>8.2747007991598406E-4</v>
      </c>
      <c r="K442" s="1">
        <f>'[1]Electricity and CHPs_IN'!G$90</f>
        <v>8.8659602396557239E-4</v>
      </c>
    </row>
    <row r="443" spans="1:11" x14ac:dyDescent="0.3">
      <c r="A443" s="5"/>
      <c r="B443" s="5" t="str">
        <f t="shared" si="255"/>
        <v>SPS3</v>
      </c>
      <c r="C443" s="5" t="s">
        <v>7</v>
      </c>
      <c r="D443" t="s">
        <v>879</v>
      </c>
      <c r="E443" t="str">
        <f>E397</f>
        <v>PJ/yr.</v>
      </c>
      <c r="F443" s="1">
        <f>F444</f>
        <v>1.1839600421804968</v>
      </c>
      <c r="G443" s="1">
        <f t="shared" ref="G443:K443" si="261">G444</f>
        <v>4.1164818992322409</v>
      </c>
      <c r="H443" s="1">
        <f t="shared" si="261"/>
        <v>4.2876497115303698</v>
      </c>
      <c r="I443" s="1">
        <f t="shared" si="261"/>
        <v>9.7744967545413652E-5</v>
      </c>
      <c r="J443" s="1">
        <f t="shared" si="261"/>
        <v>0.10434183728637794</v>
      </c>
      <c r="K443" s="1">
        <f t="shared" si="261"/>
        <v>2.3592357067492298</v>
      </c>
    </row>
    <row r="444" spans="1:11" x14ac:dyDescent="0.3">
      <c r="A444" s="5"/>
      <c r="B444" s="5" t="str">
        <f t="shared" si="255"/>
        <v>SPS3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1.1839600421804968</v>
      </c>
      <c r="G444" s="1">
        <f>'[1]Electricity and CHPs_IN'!C$91</f>
        <v>4.1164818992322409</v>
      </c>
      <c r="H444" s="1">
        <f>'[1]Electricity and CHPs_IN'!D$91</f>
        <v>4.2876497115303698</v>
      </c>
      <c r="I444" s="1">
        <f>'[1]Electricity and CHPs_IN'!E$91</f>
        <v>9.7744967545413652E-5</v>
      </c>
      <c r="J444" s="1">
        <f>'[1]Electricity and CHPs_IN'!F$91</f>
        <v>0.10434183728637794</v>
      </c>
      <c r="K444" s="1">
        <f>'[1]Electricity and CHPs_IN'!G$91</f>
        <v>2.3592357067492298</v>
      </c>
    </row>
    <row r="445" spans="1:11" x14ac:dyDescent="0.3">
      <c r="A445" s="5"/>
      <c r="B445" s="5" t="str">
        <f t="shared" si="255"/>
        <v>SPS3</v>
      </c>
      <c r="C445" s="5" t="s">
        <v>7</v>
      </c>
      <c r="D445" t="s">
        <v>880</v>
      </c>
      <c r="E445" t="str">
        <f>E398</f>
        <v>PJ/yr.</v>
      </c>
      <c r="F445" s="1">
        <f>F446</f>
        <v>1.4500335445665617</v>
      </c>
      <c r="G445" s="1">
        <f t="shared" ref="G445:K445" si="262">G446</f>
        <v>3.8009267940464406</v>
      </c>
      <c r="H445" s="1">
        <f t="shared" si="262"/>
        <v>3.7972475666171479</v>
      </c>
      <c r="I445" s="1">
        <f t="shared" si="262"/>
        <v>0.97504718505520127</v>
      </c>
      <c r="J445" s="1">
        <f t="shared" si="262"/>
        <v>0</v>
      </c>
      <c r="K445" s="1">
        <f t="shared" si="262"/>
        <v>0</v>
      </c>
    </row>
    <row r="446" spans="1:11" x14ac:dyDescent="0.3">
      <c r="A446" s="5"/>
      <c r="B446" s="5" t="str">
        <f t="shared" si="255"/>
        <v>SPS3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1.4500335445665617</v>
      </c>
      <c r="G446" s="1">
        <f>'[1]Electricity and CHPs_IN'!C$92</f>
        <v>3.8009267940464406</v>
      </c>
      <c r="H446" s="1">
        <f>'[1]Electricity and CHPs_IN'!D$92</f>
        <v>3.7972475666171479</v>
      </c>
      <c r="I446" s="1">
        <f>'[1]Electricity and CHPs_IN'!E$92</f>
        <v>0.97504718505520127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3">
      <c r="A447" s="5"/>
      <c r="B447" s="5" t="str">
        <f t="shared" si="255"/>
        <v>SPS3</v>
      </c>
      <c r="C447" s="5" t="s">
        <v>7</v>
      </c>
      <c r="D447" t="s">
        <v>881</v>
      </c>
      <c r="E447" t="str">
        <f>E399</f>
        <v>PJ/yr.</v>
      </c>
      <c r="F447" s="1">
        <f>F448</f>
        <v>0.21545546560521597</v>
      </c>
      <c r="G447" s="1">
        <f t="shared" ref="G447:K447" si="263">G448</f>
        <v>0.21746110048169448</v>
      </c>
      <c r="H447" s="1">
        <f t="shared" si="263"/>
        <v>5.4313141237773394E-2</v>
      </c>
      <c r="I447" s="1">
        <f t="shared" si="263"/>
        <v>5.2246626158704214E-2</v>
      </c>
      <c r="J447" s="1">
        <f t="shared" si="263"/>
        <v>4.6493364707698981E-4</v>
      </c>
      <c r="K447" s="1">
        <f t="shared" si="263"/>
        <v>6.8404168439204876E-6</v>
      </c>
    </row>
    <row r="448" spans="1:11" x14ac:dyDescent="0.3">
      <c r="A448" s="5"/>
      <c r="B448" s="5" t="str">
        <f t="shared" si="255"/>
        <v>SPS3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0.21545546560521597</v>
      </c>
      <c r="G448" s="1">
        <f>'[1]Electricity and CHPs_IN'!C$93</f>
        <v>0.21746110048169448</v>
      </c>
      <c r="H448" s="1">
        <f>'[1]Electricity and CHPs_IN'!D$93</f>
        <v>5.4313141237773394E-2</v>
      </c>
      <c r="I448" s="1">
        <f>'[1]Electricity and CHPs_IN'!E$93</f>
        <v>5.2246626158704214E-2</v>
      </c>
      <c r="J448" s="1">
        <f>'[1]Electricity and CHPs_IN'!F$93</f>
        <v>4.6493364707698981E-4</v>
      </c>
      <c r="K448" s="1">
        <f>'[1]Electricity and CHPs_IN'!G$93</f>
        <v>6.8404168439204876E-6</v>
      </c>
    </row>
    <row r="449" spans="1:11" x14ac:dyDescent="0.3">
      <c r="A449" s="5"/>
      <c r="B449" s="5" t="str">
        <f t="shared" si="255"/>
        <v>SPS3</v>
      </c>
      <c r="C449" s="5" t="s">
        <v>7</v>
      </c>
      <c r="D449" t="s">
        <v>883</v>
      </c>
      <c r="E449" t="str">
        <f>E399</f>
        <v>PJ/yr.</v>
      </c>
      <c r="F449" s="1">
        <f>F450</f>
        <v>0.21545546560521597</v>
      </c>
      <c r="G449" s="1">
        <f t="shared" ref="G449:K449" si="264">G450</f>
        <v>0.21746110048169448</v>
      </c>
      <c r="H449" s="1">
        <f t="shared" si="264"/>
        <v>5.4313141237773394E-2</v>
      </c>
      <c r="I449" s="1">
        <f t="shared" si="264"/>
        <v>5.2246626158704214E-2</v>
      </c>
      <c r="J449" s="1">
        <f t="shared" si="264"/>
        <v>4.6493364707698981E-4</v>
      </c>
      <c r="K449" s="1">
        <f t="shared" si="264"/>
        <v>6.8404168439204876E-6</v>
      </c>
    </row>
    <row r="450" spans="1:11" x14ac:dyDescent="0.3">
      <c r="A450" s="5"/>
      <c r="B450" s="5" t="str">
        <f t="shared" si="255"/>
        <v>SPS3</v>
      </c>
      <c r="C450" s="5" t="s">
        <v>7</v>
      </c>
      <c r="D450" t="s">
        <v>882</v>
      </c>
      <c r="E450" t="str">
        <f>E400</f>
        <v>PJ/yr.</v>
      </c>
      <c r="F450" s="1">
        <f>F448</f>
        <v>0.21545546560521597</v>
      </c>
      <c r="G450" s="1">
        <f t="shared" ref="G450:K450" si="265">G448</f>
        <v>0.21746110048169448</v>
      </c>
      <c r="H450" s="1">
        <f t="shared" si="265"/>
        <v>5.4313141237773394E-2</v>
      </c>
      <c r="I450" s="1">
        <f t="shared" si="265"/>
        <v>5.2246626158704214E-2</v>
      </c>
      <c r="J450" s="1">
        <f t="shared" si="265"/>
        <v>4.6493364707698981E-4</v>
      </c>
      <c r="K450" s="1">
        <f t="shared" si="265"/>
        <v>6.8404168439204876E-6</v>
      </c>
    </row>
    <row r="451" spans="1:11" x14ac:dyDescent="0.3">
      <c r="A451" s="5"/>
      <c r="B451" s="5" t="str">
        <f t="shared" si="255"/>
        <v>SPS3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66">G452</f>
        <v>0</v>
      </c>
      <c r="H451" s="1">
        <f t="shared" si="266"/>
        <v>0</v>
      </c>
      <c r="I451" s="1">
        <f t="shared" si="266"/>
        <v>0</v>
      </c>
      <c r="J451" s="1">
        <f t="shared" si="266"/>
        <v>0</v>
      </c>
      <c r="K451" s="1">
        <f t="shared" si="266"/>
        <v>0</v>
      </c>
    </row>
    <row r="452" spans="1:11" x14ac:dyDescent="0.3">
      <c r="A452" s="5"/>
      <c r="B452" s="5" t="str">
        <f t="shared" si="255"/>
        <v>SPS3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3">
      <c r="A453" s="5"/>
      <c r="B453" s="5" t="str">
        <f t="shared" si="255"/>
        <v>SPS3</v>
      </c>
      <c r="C453" s="5" t="s">
        <v>7</v>
      </c>
      <c r="D453" t="s">
        <v>886</v>
      </c>
      <c r="E453" t="str">
        <f>E400</f>
        <v>PJ/yr.</v>
      </c>
      <c r="F453" s="1">
        <f>F454</f>
        <v>2.1204216235405631</v>
      </c>
      <c r="G453" s="1">
        <f t="shared" ref="G453:K453" si="267">G454</f>
        <v>1.9136709265110896</v>
      </c>
      <c r="H453" s="1">
        <f t="shared" si="267"/>
        <v>1.6407356539492877</v>
      </c>
      <c r="I453" s="1">
        <f t="shared" si="267"/>
        <v>1.2695670179551524</v>
      </c>
      <c r="J453" s="1">
        <f t="shared" si="267"/>
        <v>0.7601574189882333</v>
      </c>
      <c r="K453" s="1">
        <f t="shared" si="267"/>
        <v>0.45514021006295219</v>
      </c>
    </row>
    <row r="454" spans="1:11" x14ac:dyDescent="0.3">
      <c r="A454" s="5"/>
      <c r="B454" s="5" t="str">
        <f t="shared" si="255"/>
        <v>SPS3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2.1204216235405631</v>
      </c>
      <c r="G454" s="1">
        <f>'[1]Electricity and CHPs_IN'!C$94</f>
        <v>1.9136709265110896</v>
      </c>
      <c r="H454" s="1">
        <f>'[1]Electricity and CHPs_IN'!D$94</f>
        <v>1.6407356539492877</v>
      </c>
      <c r="I454" s="1">
        <f>'[1]Electricity and CHPs_IN'!E$94</f>
        <v>1.2695670179551524</v>
      </c>
      <c r="J454" s="1">
        <f>'[1]Electricity and CHPs_IN'!F$94</f>
        <v>0.7601574189882333</v>
      </c>
      <c r="K454" s="1">
        <f>'[1]Electricity and CHPs_IN'!G$94</f>
        <v>0.45514021006295219</v>
      </c>
    </row>
    <row r="455" spans="1:11" x14ac:dyDescent="0.3">
      <c r="A455" s="5"/>
      <c r="B455" s="5" t="str">
        <f t="shared" si="255"/>
        <v>SPS3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68">G456</f>
        <v>0</v>
      </c>
      <c r="H455" s="1">
        <f t="shared" si="268"/>
        <v>0</v>
      </c>
      <c r="I455" s="1">
        <f t="shared" si="268"/>
        <v>0</v>
      </c>
      <c r="J455" s="1">
        <f t="shared" si="268"/>
        <v>0</v>
      </c>
      <c r="K455" s="1">
        <f t="shared" si="268"/>
        <v>0</v>
      </c>
    </row>
    <row r="456" spans="1:11" x14ac:dyDescent="0.3">
      <c r="A456" s="5"/>
      <c r="B456" s="5" t="str">
        <f t="shared" si="255"/>
        <v>SPS3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0</v>
      </c>
      <c r="K456" s="1">
        <f>'[1]Electricity and CHPs_IN'!G$95</f>
        <v>0</v>
      </c>
    </row>
    <row r="457" spans="1:11" x14ac:dyDescent="0.3">
      <c r="A457" s="5"/>
      <c r="B457" s="5" t="str">
        <f t="shared" si="255"/>
        <v>SPS3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69">G458</f>
        <v>0</v>
      </c>
      <c r="H457" s="1">
        <f t="shared" si="269"/>
        <v>0</v>
      </c>
      <c r="I457" s="1">
        <f t="shared" si="269"/>
        <v>0</v>
      </c>
      <c r="J457" s="1">
        <f t="shared" si="269"/>
        <v>7.3213940634494091E-3</v>
      </c>
      <c r="K457" s="1">
        <f t="shared" si="269"/>
        <v>9.6199738260660944E-3</v>
      </c>
    </row>
    <row r="458" spans="1:11" x14ac:dyDescent="0.3">
      <c r="A458" s="5"/>
      <c r="B458" s="5" t="str">
        <f t="shared" si="255"/>
        <v>SPS3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7.3213940634494091E-3</v>
      </c>
      <c r="K458" s="1">
        <f>'[1]Electricity and CHPs_IN'!G$96</f>
        <v>9.6199738260660944E-3</v>
      </c>
    </row>
    <row r="459" spans="1:11" x14ac:dyDescent="0.3">
      <c r="A459" s="5"/>
      <c r="B459" s="5" t="str">
        <f t="shared" si="255"/>
        <v>SPS3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0">G460</f>
        <v>0.84427610863971569</v>
      </c>
      <c r="H459" s="1">
        <f>H460</f>
        <v>0.8698809550859351</v>
      </c>
      <c r="I459" s="1">
        <f t="shared" ref="I459" si="271">I460</f>
        <v>3.4040699331683277</v>
      </c>
      <c r="J459" s="1">
        <f t="shared" ref="J459" si="272">J460</f>
        <v>3.7602128028696291</v>
      </c>
      <c r="K459" s="1">
        <f t="shared" ref="K459" si="273">K460</f>
        <v>4.1536171834665563</v>
      </c>
    </row>
    <row r="460" spans="1:11" x14ac:dyDescent="0.3">
      <c r="A460" s="5"/>
      <c r="B460" s="5" t="str">
        <f t="shared" si="255"/>
        <v>SPS3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0.84427610863971569</v>
      </c>
      <c r="H460" s="1">
        <f>'[1]Electricity and CHPs_IN'!D$97</f>
        <v>0.8698809550859351</v>
      </c>
      <c r="I460" s="1">
        <f>'[1]Electricity and CHPs_IN'!E$97</f>
        <v>3.4040699331683277</v>
      </c>
      <c r="J460" s="1">
        <f>'[1]Electricity and CHPs_IN'!F$97</f>
        <v>3.7602128028696291</v>
      </c>
      <c r="K460" s="1">
        <f>'[1]Electricity and CHPs_IN'!G$97</f>
        <v>4.1536171834665563</v>
      </c>
    </row>
    <row r="461" spans="1:11" x14ac:dyDescent="0.3">
      <c r="A461" s="5"/>
      <c r="B461" s="5" t="str">
        <f t="shared" si="255"/>
        <v>SPS3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8.460421681578616</v>
      </c>
      <c r="G461" s="1">
        <f t="shared" ref="G461:K461" si="274">SUM(G462,G468,G501,G510,G516)</f>
        <v>8.6397667117151311</v>
      </c>
      <c r="H461" s="1">
        <f t="shared" si="274"/>
        <v>10.274633252861882</v>
      </c>
      <c r="I461" s="1">
        <f t="shared" si="274"/>
        <v>10.948988517067491</v>
      </c>
      <c r="J461" s="1">
        <f t="shared" si="274"/>
        <v>27.326930151029163</v>
      </c>
      <c r="K461" s="1">
        <f t="shared" si="274"/>
        <v>25.27935986436842</v>
      </c>
    </row>
    <row r="462" spans="1:11" x14ac:dyDescent="0.3">
      <c r="A462" s="5"/>
      <c r="B462" s="5" t="str">
        <f t="shared" si="255"/>
        <v>SPS3</v>
      </c>
      <c r="C462" s="5" t="s">
        <v>7</v>
      </c>
      <c r="D462" t="s">
        <v>892</v>
      </c>
      <c r="E462" t="str">
        <f>E397</f>
        <v>PJ/yr.</v>
      </c>
      <c r="F462" s="1">
        <f>+F463</f>
        <v>0.32605977771291772</v>
      </c>
      <c r="G462" s="1">
        <f t="shared" ref="G462:K462" si="275">+G463</f>
        <v>0.64328153013916423</v>
      </c>
      <c r="H462" s="1">
        <f t="shared" si="275"/>
        <v>3.3617346465564968E-2</v>
      </c>
      <c r="I462" s="1">
        <f t="shared" si="275"/>
        <v>6.2489232650928949E-5</v>
      </c>
      <c r="J462" s="1">
        <f t="shared" si="275"/>
        <v>1.9839120937419334</v>
      </c>
      <c r="K462" s="1">
        <f t="shared" si="275"/>
        <v>0.45089052602420499</v>
      </c>
    </row>
    <row r="463" spans="1:11" x14ac:dyDescent="0.3">
      <c r="A463" s="5"/>
      <c r="B463" s="5" t="str">
        <f t="shared" si="255"/>
        <v>SPS3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0.32605977771291772</v>
      </c>
      <c r="G463" s="1">
        <f>'[1]Electricity and CHPs_IN'!C$41-G299</f>
        <v>0.64328153013916423</v>
      </c>
      <c r="H463" s="1">
        <f>'[1]Electricity and CHPs_IN'!D$41-H299</f>
        <v>3.3617346465564968E-2</v>
      </c>
      <c r="I463" s="1">
        <f>'[1]Electricity and CHPs_IN'!E$41-I299</f>
        <v>6.2489232650928949E-5</v>
      </c>
      <c r="J463" s="1">
        <f>'[1]Electricity and CHPs_IN'!F$41-J299</f>
        <v>1.9839120937419334</v>
      </c>
      <c r="K463" s="1">
        <f>'[1]Electricity and CHPs_IN'!G$41-K299</f>
        <v>0.45089052602420499</v>
      </c>
    </row>
    <row r="464" spans="1:11" x14ac:dyDescent="0.3">
      <c r="A464" s="5"/>
      <c r="B464" s="5" t="str">
        <f t="shared" si="255"/>
        <v>SPS3</v>
      </c>
      <c r="C464" s="5" t="s">
        <v>7</v>
      </c>
      <c r="D464" t="s">
        <v>894</v>
      </c>
      <c r="E464" t="str">
        <f>E397</f>
        <v>PJ/yr.</v>
      </c>
      <c r="F464" s="1">
        <f>F465</f>
        <v>0.32605977771291772</v>
      </c>
      <c r="G464" s="1">
        <f t="shared" ref="G464:K464" si="276">G465</f>
        <v>0.64328153013916423</v>
      </c>
      <c r="H464" s="1">
        <f t="shared" si="276"/>
        <v>3.3617346465564968E-2</v>
      </c>
      <c r="I464" s="1">
        <f t="shared" si="276"/>
        <v>6.2489232650928949E-5</v>
      </c>
      <c r="J464" s="1">
        <f t="shared" si="276"/>
        <v>1.9839120937419334</v>
      </c>
      <c r="K464" s="1">
        <f t="shared" si="276"/>
        <v>0.45089052602420499</v>
      </c>
    </row>
    <row r="465" spans="1:11" x14ac:dyDescent="0.3">
      <c r="A465" s="5"/>
      <c r="B465" s="5" t="str">
        <f t="shared" si="255"/>
        <v>SPS3</v>
      </c>
      <c r="C465" s="5" t="s">
        <v>7</v>
      </c>
      <c r="D465" t="s">
        <v>524</v>
      </c>
      <c r="E465" t="str">
        <f>E398</f>
        <v>PJ/yr.</v>
      </c>
      <c r="F465" s="1">
        <f>F463-F467</f>
        <v>0.32605977771291772</v>
      </c>
      <c r="G465" s="1">
        <f t="shared" ref="G465:K465" si="277">G463-G467</f>
        <v>0.64328153013916423</v>
      </c>
      <c r="H465" s="1">
        <f t="shared" si="277"/>
        <v>3.3617346465564968E-2</v>
      </c>
      <c r="I465" s="1">
        <f t="shared" si="277"/>
        <v>6.2489232650928949E-5</v>
      </c>
      <c r="J465" s="1">
        <f t="shared" si="277"/>
        <v>1.9839120937419334</v>
      </c>
      <c r="K465" s="1">
        <f t="shared" si="277"/>
        <v>0.45089052602420499</v>
      </c>
    </row>
    <row r="466" spans="1:11" x14ac:dyDescent="0.3">
      <c r="A466" s="5"/>
      <c r="B466" s="5" t="str">
        <f t="shared" si="255"/>
        <v>SPS3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78">G467</f>
        <v>0</v>
      </c>
      <c r="H466" s="1">
        <f t="shared" si="278"/>
        <v>0</v>
      </c>
      <c r="I466" s="1">
        <f t="shared" si="278"/>
        <v>0</v>
      </c>
      <c r="J466" s="1">
        <f t="shared" si="278"/>
        <v>0</v>
      </c>
      <c r="K466" s="1">
        <f t="shared" si="278"/>
        <v>0</v>
      </c>
    </row>
    <row r="467" spans="1:11" x14ac:dyDescent="0.3">
      <c r="A467" s="5"/>
      <c r="B467" s="5" t="str">
        <f t="shared" si="255"/>
        <v>SPS3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79">IFERROR(G307/G299,0)*G463</f>
        <v>0</v>
      </c>
      <c r="H467" s="1">
        <f t="shared" si="279"/>
        <v>0</v>
      </c>
      <c r="I467" s="1">
        <f t="shared" si="279"/>
        <v>0</v>
      </c>
      <c r="J467" s="1">
        <f t="shared" si="279"/>
        <v>0</v>
      </c>
      <c r="K467" s="1">
        <f t="shared" si="279"/>
        <v>0</v>
      </c>
    </row>
    <row r="468" spans="1:11" x14ac:dyDescent="0.3">
      <c r="A468" s="5"/>
      <c r="B468" s="5" t="str">
        <f t="shared" si="255"/>
        <v>SPS3</v>
      </c>
      <c r="C468" s="5" t="s">
        <v>7</v>
      </c>
      <c r="D468" t="s">
        <v>893</v>
      </c>
      <c r="E468" t="str">
        <f>E399</f>
        <v>PJ/yr.</v>
      </c>
      <c r="F468" s="1">
        <f>SUM(F469:F478)</f>
        <v>4.1241246557765336</v>
      </c>
      <c r="G468" s="1">
        <f t="shared" ref="G468:K468" si="280">SUM(G469:G478)</f>
        <v>2.8970774713191885</v>
      </c>
      <c r="H468" s="1">
        <f t="shared" si="280"/>
        <v>2.0753760016947389</v>
      </c>
      <c r="I468" s="1">
        <f t="shared" si="280"/>
        <v>1.6858966794343073</v>
      </c>
      <c r="J468" s="1">
        <f t="shared" si="280"/>
        <v>9.4491512694457622</v>
      </c>
      <c r="K468" s="1">
        <f t="shared" si="280"/>
        <v>3.8566094811078151</v>
      </c>
    </row>
    <row r="469" spans="1:11" x14ac:dyDescent="0.3">
      <c r="A469" s="5"/>
      <c r="B469" s="5" t="str">
        <f t="shared" si="255"/>
        <v>SPS3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1.107962259658732</v>
      </c>
      <c r="G469" s="1">
        <f>'[1]Electricity and CHPs_IN'!C$39-G314</f>
        <v>0.1386124870239476</v>
      </c>
      <c r="H469" s="1">
        <f>'[1]Electricity and CHPs_IN'!D$39-H314</f>
        <v>8.5623484996016644E-2</v>
      </c>
      <c r="I469" s="1">
        <f>'[1]Electricity and CHPs_IN'!E$39-I314</f>
        <v>3.360562498394775E-2</v>
      </c>
      <c r="J469" s="1">
        <f>'[1]Electricity and CHPs_IN'!F$39-J314</f>
        <v>5.4101382106150835E-2</v>
      </c>
      <c r="K469" s="1">
        <f>'[1]Electricity and CHPs_IN'!G$39-K314</f>
        <v>9.1277637919521468E-2</v>
      </c>
    </row>
    <row r="470" spans="1:11" x14ac:dyDescent="0.3">
      <c r="A470" s="5"/>
      <c r="B470" s="5" t="str">
        <f t="shared" si="255"/>
        <v>SPS3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1.1371786461767603E-2</v>
      </c>
      <c r="K470" s="6">
        <f>'[1]Electricity and CHPs_IN'!G$40-K315</f>
        <v>3.5885671014358779E-2</v>
      </c>
    </row>
    <row r="471" spans="1:11" x14ac:dyDescent="0.3">
      <c r="A471" s="5"/>
      <c r="B471" s="5" t="str">
        <f t="shared" si="255"/>
        <v>SPS3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3">
      <c r="A472" s="5"/>
      <c r="B472" s="5" t="str">
        <f t="shared" si="255"/>
        <v>SPS3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0.20290588559177175</v>
      </c>
      <c r="G472" s="1">
        <f>'[1]Electricity and CHPs_IN'!C$48-G317</f>
        <v>8.4072961365341033E-3</v>
      </c>
      <c r="H472" s="1">
        <f>'[1]Electricity and CHPs_IN'!D$48-H317</f>
        <v>6.7814290461204282E-2</v>
      </c>
      <c r="I472" s="1">
        <f>'[1]Electricity and CHPs_IN'!E$48-I317</f>
        <v>9.3302588014921147E-5</v>
      </c>
      <c r="J472" s="1">
        <f>'[1]Electricity and CHPs_IN'!F$48-J317</f>
        <v>7.6241325460479153E-2</v>
      </c>
      <c r="K472" s="1">
        <f>'[1]Electricity and CHPs_IN'!G$48-K317</f>
        <v>5.6589114060771162E-2</v>
      </c>
    </row>
    <row r="473" spans="1:11" x14ac:dyDescent="0.3">
      <c r="A473" s="5"/>
      <c r="B473" s="5" t="str">
        <f t="shared" si="255"/>
        <v>SPS3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3">
      <c r="A474" s="5"/>
      <c r="B474" s="5" t="str">
        <f t="shared" si="255"/>
        <v>SPS3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0.2567076285762957</v>
      </c>
      <c r="G474" s="1">
        <f>'[1]Electricity and CHPs_IN'!C$51-G319</f>
        <v>8.8047653157649133E-3</v>
      </c>
      <c r="H474" s="1">
        <f>'[1]Electricity and CHPs_IN'!D$51-H319</f>
        <v>0.11559559670225107</v>
      </c>
      <c r="I474" s="1">
        <f>'[1]Electricity and CHPs_IN'!E$51-I319</f>
        <v>9.4994527541122974E-5</v>
      </c>
      <c r="J474" s="1">
        <f>'[1]Electricity and CHPs_IN'!F$51-J319</f>
        <v>2.054009287023129</v>
      </c>
      <c r="K474" s="1">
        <f>'[1]Electricity and CHPs_IN'!G$51-K319</f>
        <v>1.3880244484091913</v>
      </c>
    </row>
    <row r="475" spans="1:11" x14ac:dyDescent="0.3">
      <c r="A475" s="5"/>
      <c r="B475" s="5" t="str">
        <f t="shared" si="255"/>
        <v>SPS3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3">
      <c r="A476" s="5"/>
      <c r="B476" s="5" t="str">
        <f t="shared" si="255"/>
        <v>SPS3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1.5807095596304741</v>
      </c>
      <c r="G476" s="1">
        <f>'[1]Electricity and CHPs_IN'!C$54-G321</f>
        <v>1.7925291209504992</v>
      </c>
      <c r="H476" s="1">
        <f>'[1]Electricity and CHPs_IN'!D$54-H321</f>
        <v>1.7488770087726602</v>
      </c>
      <c r="I476" s="1">
        <f>'[1]Electricity and CHPs_IN'!E$54-I321</f>
        <v>1.652069854222288</v>
      </c>
      <c r="J476" s="1">
        <f>'[1]Electricity and CHPs_IN'!F$54-J321</f>
        <v>2.3417231905637252</v>
      </c>
      <c r="K476" s="1">
        <f>'[1]Electricity and CHPs_IN'!G$54-K321</f>
        <v>2.2666539290566408</v>
      </c>
    </row>
    <row r="477" spans="1:11" x14ac:dyDescent="0.3">
      <c r="A477" s="5"/>
      <c r="B477" s="5" t="str">
        <f t="shared" si="255"/>
        <v>SPS3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0.97583932231925974</v>
      </c>
      <c r="G477" s="1">
        <f>'[1]Electricity and CHPs_IN'!C$55-G322</f>
        <v>0.94872380189244254</v>
      </c>
      <c r="H477" s="1">
        <f>'[1]Electricity and CHPs_IN'!D$55-H322</f>
        <v>5.7465620762606598E-2</v>
      </c>
      <c r="I477" s="1">
        <f>'[1]Electricity and CHPs_IN'!E$55-I322</f>
        <v>1.987949146168963E-5</v>
      </c>
      <c r="J477" s="1">
        <f>'[1]Electricity and CHPs_IN'!F$55-J322</f>
        <v>4.8806656255214724</v>
      </c>
      <c r="K477" s="1">
        <f>'[1]Electricity and CHPs_IN'!G$55-K322</f>
        <v>5.7127644804309888E-3</v>
      </c>
    </row>
    <row r="478" spans="1:11" x14ac:dyDescent="0.3">
      <c r="A478" s="5"/>
      <c r="B478" s="5" t="str">
        <f t="shared" si="255"/>
        <v>SPS3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1.3023621053870732E-5</v>
      </c>
      <c r="J478" s="1">
        <f>'[1]Electricity and CHPs_IN'!F$58-J323</f>
        <v>3.1038672309039755E-2</v>
      </c>
      <c r="K478" s="1">
        <f>'[1]Electricity and CHPs_IN'!G$58-K323</f>
        <v>1.246591616690066E-2</v>
      </c>
    </row>
    <row r="479" spans="1:11" x14ac:dyDescent="0.3">
      <c r="A479" s="5"/>
      <c r="B479" s="5" t="str">
        <f t="shared" si="255"/>
        <v>SPS3</v>
      </c>
      <c r="C479" s="5" t="s">
        <v>7</v>
      </c>
      <c r="D479" t="s">
        <v>896</v>
      </c>
      <c r="E479" t="str">
        <f>E400</f>
        <v>PJ/yr.</v>
      </c>
      <c r="F479" s="1">
        <f>SUM(F480:F489)</f>
        <v>2.4775404293202881</v>
      </c>
      <c r="G479" s="1">
        <f t="shared" ref="G479:K479" si="281">SUM(G480:G489)</f>
        <v>1.0899545112280458</v>
      </c>
      <c r="H479" s="1">
        <f t="shared" si="281"/>
        <v>0.27832779811194414</v>
      </c>
      <c r="I479" s="1">
        <f t="shared" si="281"/>
        <v>3.3794580439219159E-2</v>
      </c>
      <c r="J479" s="1">
        <f t="shared" si="281"/>
        <v>6.3102909315545235</v>
      </c>
      <c r="K479" s="1">
        <f t="shared" si="281"/>
        <v>0.38315135563315394</v>
      </c>
    </row>
    <row r="480" spans="1:11" x14ac:dyDescent="0.3">
      <c r="A480" s="5"/>
      <c r="B480" s="5" t="str">
        <f t="shared" si="255"/>
        <v>SPS3</v>
      </c>
      <c r="C480" s="5" t="s">
        <v>7</v>
      </c>
      <c r="D480" t="s">
        <v>597</v>
      </c>
      <c r="E480" t="str">
        <f>E400</f>
        <v>PJ/yr.</v>
      </c>
      <c r="F480" s="1">
        <f t="shared" ref="F480:F486" si="282">F469-F491</f>
        <v>1.079265943111291</v>
      </c>
      <c r="G480" s="1">
        <f t="shared" ref="G480:K480" si="283">G469-G491</f>
        <v>0.13678107028439357</v>
      </c>
      <c r="H480" s="1">
        <f t="shared" si="283"/>
        <v>7.2990718385768316E-2</v>
      </c>
      <c r="I480" s="1">
        <f t="shared" si="283"/>
        <v>3.3573591066025393E-2</v>
      </c>
      <c r="J480" s="1">
        <f t="shared" si="283"/>
        <v>4.8033614564934081E-2</v>
      </c>
      <c r="K480" s="1">
        <f t="shared" si="283"/>
        <v>2.1996307168925922E-2</v>
      </c>
    </row>
    <row r="481" spans="1:18" x14ac:dyDescent="0.3">
      <c r="A481" s="5"/>
      <c r="B481" s="5" t="str">
        <f t="shared" si="255"/>
        <v>SPS3</v>
      </c>
      <c r="C481" s="5" t="s">
        <v>7</v>
      </c>
      <c r="D481" t="s">
        <v>598</v>
      </c>
      <c r="E481" t="str">
        <f>E401</f>
        <v>PJ/yr.</v>
      </c>
      <c r="F481" s="1">
        <f t="shared" si="282"/>
        <v>0</v>
      </c>
      <c r="G481" s="1">
        <f t="shared" ref="G481:K481" si="284">G470-G492</f>
        <v>0</v>
      </c>
      <c r="H481" s="1">
        <f t="shared" si="284"/>
        <v>0</v>
      </c>
      <c r="I481" s="1">
        <f t="shared" si="284"/>
        <v>0</v>
      </c>
      <c r="J481" s="1">
        <f t="shared" si="284"/>
        <v>1.0096378069372455E-2</v>
      </c>
      <c r="K481" s="1">
        <f t="shared" si="284"/>
        <v>8.6478162733661101E-3</v>
      </c>
    </row>
    <row r="482" spans="1:18" x14ac:dyDescent="0.3">
      <c r="A482" s="5"/>
      <c r="B482" s="5" t="str">
        <f t="shared" si="255"/>
        <v>SPS3</v>
      </c>
      <c r="C482" s="5" t="s">
        <v>7</v>
      </c>
      <c r="D482" t="s">
        <v>599</v>
      </c>
      <c r="E482" t="str">
        <f>E402</f>
        <v>PJ/yr.</v>
      </c>
      <c r="F482" s="1">
        <f t="shared" si="282"/>
        <v>0</v>
      </c>
      <c r="G482" s="1">
        <f t="shared" ref="G482:K482" si="285">G471-G493</f>
        <v>0</v>
      </c>
      <c r="H482" s="1">
        <f t="shared" si="285"/>
        <v>0</v>
      </c>
      <c r="I482" s="1">
        <f t="shared" si="285"/>
        <v>0</v>
      </c>
      <c r="J482" s="1">
        <f t="shared" si="285"/>
        <v>0</v>
      </c>
      <c r="K482" s="1">
        <f t="shared" si="285"/>
        <v>0</v>
      </c>
    </row>
    <row r="483" spans="1:18" x14ac:dyDescent="0.3">
      <c r="A483" s="5"/>
      <c r="B483" s="5" t="str">
        <f t="shared" si="255"/>
        <v>SPS3</v>
      </c>
      <c r="C483" s="5" t="s">
        <v>7</v>
      </c>
      <c r="D483" t="s">
        <v>600</v>
      </c>
      <c r="E483" t="str">
        <f>E427</f>
        <v>PJ/yr.</v>
      </c>
      <c r="F483" s="1">
        <f t="shared" si="282"/>
        <v>0.19765060593624104</v>
      </c>
      <c r="G483" s="1">
        <f t="shared" ref="G483:K483" si="286">G472-G494</f>
        <v>8.2962147815319656E-3</v>
      </c>
      <c r="H483" s="1">
        <f t="shared" si="286"/>
        <v>5.7809066961181627E-2</v>
      </c>
      <c r="I483" s="1">
        <f t="shared" si="286"/>
        <v>9.3213649111156038E-5</v>
      </c>
      <c r="J483" s="1">
        <f t="shared" si="286"/>
        <v>6.769044151040271E-2</v>
      </c>
      <c r="K483" s="1">
        <f t="shared" si="286"/>
        <v>1.3636982328525983E-2</v>
      </c>
    </row>
    <row r="484" spans="1:18" x14ac:dyDescent="0.3">
      <c r="A484" s="5"/>
      <c r="B484" s="5" t="str">
        <f t="shared" si="255"/>
        <v>SPS3</v>
      </c>
      <c r="C484" s="5" t="s">
        <v>7</v>
      </c>
      <c r="D484" t="s">
        <v>601</v>
      </c>
      <c r="E484" t="str">
        <f>E429</f>
        <v>PJ/yr.</v>
      </c>
      <c r="F484" s="1">
        <f t="shared" si="282"/>
        <v>0</v>
      </c>
      <c r="G484" s="1">
        <f t="shared" ref="G484:K484" si="287">G473-G495</f>
        <v>0</v>
      </c>
      <c r="H484" s="1">
        <f t="shared" si="287"/>
        <v>0</v>
      </c>
      <c r="I484" s="1">
        <f t="shared" si="287"/>
        <v>0</v>
      </c>
      <c r="J484" s="1">
        <f t="shared" si="287"/>
        <v>0</v>
      </c>
      <c r="K484" s="1">
        <f t="shared" si="287"/>
        <v>0</v>
      </c>
    </row>
    <row r="485" spans="1:18" x14ac:dyDescent="0.3">
      <c r="A485" s="5"/>
      <c r="B485" s="5" t="str">
        <f t="shared" si="255"/>
        <v>SPS3</v>
      </c>
      <c r="C485" s="5" t="s">
        <v>7</v>
      </c>
      <c r="D485" t="s">
        <v>602</v>
      </c>
      <c r="E485" t="str">
        <f>E431</f>
        <v>PJ/yr.</v>
      </c>
      <c r="F485" s="1">
        <f t="shared" si="282"/>
        <v>0.25005887921182068</v>
      </c>
      <c r="G485" s="1">
        <f t="shared" ref="G485:K485" si="288">G474-G496</f>
        <v>8.6884324013691786E-3</v>
      </c>
      <c r="H485" s="1">
        <f t="shared" si="288"/>
        <v>9.8540787564549343E-2</v>
      </c>
      <c r="I485" s="1">
        <f t="shared" si="288"/>
        <v>9.4903975828432649E-5</v>
      </c>
      <c r="J485" s="1">
        <f t="shared" si="288"/>
        <v>1.8236408491761458</v>
      </c>
      <c r="K485" s="1">
        <f t="shared" si="288"/>
        <v>0.33448950719021431</v>
      </c>
    </row>
    <row r="486" spans="1:18" x14ac:dyDescent="0.3">
      <c r="A486" s="5"/>
      <c r="B486" s="5" t="str">
        <f t="shared" si="255"/>
        <v>SPS3</v>
      </c>
      <c r="C486" s="5" t="s">
        <v>7</v>
      </c>
      <c r="D486" t="s">
        <v>603</v>
      </c>
      <c r="E486" t="str">
        <f>E432</f>
        <v>PJ/yr.</v>
      </c>
      <c r="F486" s="1">
        <f t="shared" si="282"/>
        <v>0</v>
      </c>
      <c r="G486" s="1">
        <f t="shared" ref="G486:K486" si="289">G475-G497</f>
        <v>0</v>
      </c>
      <c r="H486" s="1">
        <f t="shared" si="289"/>
        <v>0</v>
      </c>
      <c r="I486" s="1">
        <f t="shared" si="289"/>
        <v>0</v>
      </c>
      <c r="J486" s="1">
        <f t="shared" si="289"/>
        <v>0</v>
      </c>
      <c r="K486" s="1">
        <f t="shared" si="289"/>
        <v>0</v>
      </c>
    </row>
    <row r="487" spans="1:18" x14ac:dyDescent="0.3">
      <c r="A487" s="5"/>
      <c r="B487" s="5" t="str">
        <f t="shared" si="255"/>
        <v>SPS3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3">
      <c r="A488" s="5"/>
      <c r="B488" s="5" t="str">
        <f t="shared" si="255"/>
        <v>SPS3</v>
      </c>
      <c r="C488" s="5" t="s">
        <v>7</v>
      </c>
      <c r="D488" t="s">
        <v>605</v>
      </c>
      <c r="E488" t="str">
        <f>E471</f>
        <v>PJ/yr.</v>
      </c>
      <c r="F488" s="1">
        <f>F477-F499</f>
        <v>0.95056500106093522</v>
      </c>
      <c r="G488" s="1">
        <f t="shared" ref="G488:K488" si="290">G477-G499</f>
        <v>0.93618879376075115</v>
      </c>
      <c r="H488" s="1">
        <f t="shared" si="290"/>
        <v>4.8987225200444857E-2</v>
      </c>
      <c r="I488" s="1">
        <f t="shared" si="290"/>
        <v>1.9860541717468951E-5</v>
      </c>
      <c r="J488" s="1">
        <f t="shared" si="290"/>
        <v>4.3332721337255462</v>
      </c>
      <c r="K488" s="1">
        <f t="shared" si="290"/>
        <v>1.376675877678632E-3</v>
      </c>
    </row>
    <row r="489" spans="1:18" x14ac:dyDescent="0.3">
      <c r="A489" s="5"/>
      <c r="B489" s="5" t="str">
        <f t="shared" si="255"/>
        <v>SPS3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1">G478-G500</f>
        <v>0</v>
      </c>
      <c r="H489" s="1">
        <f t="shared" si="291"/>
        <v>0</v>
      </c>
      <c r="I489" s="1">
        <f t="shared" si="291"/>
        <v>1.3011206536715022E-5</v>
      </c>
      <c r="J489" s="1">
        <f t="shared" si="291"/>
        <v>2.7557514508122084E-2</v>
      </c>
      <c r="K489" s="1">
        <f t="shared" si="291"/>
        <v>3.0040667944430111E-3</v>
      </c>
    </row>
    <row r="490" spans="1:18" x14ac:dyDescent="0.3">
      <c r="A490" s="5"/>
      <c r="B490" s="5" t="str">
        <f t="shared" si="255"/>
        <v>SPS3</v>
      </c>
      <c r="C490" s="5" t="s">
        <v>7</v>
      </c>
      <c r="D490" t="s">
        <v>897</v>
      </c>
      <c r="E490" t="str">
        <f>E401</f>
        <v>PJ/yr.</v>
      </c>
      <c r="F490" s="1">
        <f>SUM(F491:F500)</f>
        <v>1.6465842264562456</v>
      </c>
      <c r="G490" s="1">
        <f t="shared" ref="G490:K490" si="292">SUM(G491:G500)</f>
        <v>1.8071229600911427</v>
      </c>
      <c r="H490" s="1">
        <f t="shared" si="292"/>
        <v>1.7970482035827946</v>
      </c>
      <c r="I490" s="1">
        <f t="shared" si="292"/>
        <v>1.6521020989950883</v>
      </c>
      <c r="J490" s="1">
        <f t="shared" si="292"/>
        <v>3.1388603378912405</v>
      </c>
      <c r="K490" s="1">
        <f t="shared" si="292"/>
        <v>3.4734581254746608</v>
      </c>
      <c r="M490" s="8"/>
      <c r="N490" s="8"/>
      <c r="O490" s="8"/>
      <c r="P490" s="8"/>
      <c r="Q490" s="8"/>
      <c r="R490" s="8"/>
    </row>
    <row r="491" spans="1:18" x14ac:dyDescent="0.3">
      <c r="A491" s="5"/>
      <c r="B491" s="5" t="str">
        <f t="shared" si="255"/>
        <v>SPS3</v>
      </c>
      <c r="C491" s="5" t="s">
        <v>7</v>
      </c>
      <c r="D491" t="s">
        <v>658</v>
      </c>
      <c r="E491" t="str">
        <f>E403</f>
        <v>PJ/yr.</v>
      </c>
      <c r="F491" s="1">
        <f t="shared" ref="F491:F497" si="293">IFERROR(F346/F314,0)*F469</f>
        <v>2.8696316547441057E-2</v>
      </c>
      <c r="G491" s="1">
        <f t="shared" ref="G491:K491" si="294">IFERROR(G346/G314,0)*G469</f>
        <v>1.8314167395540387E-3</v>
      </c>
      <c r="H491" s="1">
        <f t="shared" si="294"/>
        <v>1.2632766610248326E-2</v>
      </c>
      <c r="I491" s="1">
        <f t="shared" si="294"/>
        <v>3.2033917922355608E-5</v>
      </c>
      <c r="J491" s="1">
        <f t="shared" si="294"/>
        <v>6.0677675412167511E-3</v>
      </c>
      <c r="K491" s="1">
        <f t="shared" si="294"/>
        <v>6.9281330750595546E-2</v>
      </c>
    </row>
    <row r="492" spans="1:18" x14ac:dyDescent="0.3">
      <c r="A492" s="5"/>
      <c r="B492" s="5" t="str">
        <f t="shared" si="255"/>
        <v>SPS3</v>
      </c>
      <c r="C492" s="5" t="s">
        <v>7</v>
      </c>
      <c r="D492" t="s">
        <v>659</v>
      </c>
      <c r="E492" t="str">
        <f>E404</f>
        <v>PJ/yr.</v>
      </c>
      <c r="F492" s="1">
        <f t="shared" si="293"/>
        <v>0</v>
      </c>
      <c r="G492" s="1">
        <f t="shared" ref="G492:K492" si="295">IFERROR(G347/G315,0)*G470</f>
        <v>0</v>
      </c>
      <c r="H492" s="1">
        <f t="shared" si="295"/>
        <v>0</v>
      </c>
      <c r="I492" s="1">
        <f t="shared" si="295"/>
        <v>0</v>
      </c>
      <c r="J492" s="1">
        <f t="shared" si="295"/>
        <v>1.2754083923951485E-3</v>
      </c>
      <c r="K492" s="1">
        <f t="shared" si="295"/>
        <v>2.7237854740992669E-2</v>
      </c>
    </row>
    <row r="493" spans="1:18" x14ac:dyDescent="0.3">
      <c r="A493" s="5"/>
      <c r="B493" s="5" t="str">
        <f t="shared" si="255"/>
        <v>SPS3</v>
      </c>
      <c r="C493" s="5" t="s">
        <v>7</v>
      </c>
      <c r="D493" t="s">
        <v>660</v>
      </c>
      <c r="E493" t="str">
        <f>E405</f>
        <v>PJ/yr.</v>
      </c>
      <c r="F493" s="1">
        <f t="shared" si="293"/>
        <v>0</v>
      </c>
      <c r="G493" s="1">
        <f t="shared" ref="G493:K493" si="296">IFERROR(G348/G316,0)*G471</f>
        <v>0</v>
      </c>
      <c r="H493" s="1">
        <f t="shared" si="296"/>
        <v>0</v>
      </c>
      <c r="I493" s="1">
        <f t="shared" si="296"/>
        <v>0</v>
      </c>
      <c r="J493" s="1">
        <f t="shared" si="296"/>
        <v>0</v>
      </c>
      <c r="K493" s="1">
        <f t="shared" si="296"/>
        <v>0</v>
      </c>
    </row>
    <row r="494" spans="1:18" x14ac:dyDescent="0.3">
      <c r="A494" s="5"/>
      <c r="B494" s="5" t="str">
        <f t="shared" si="255"/>
        <v>SPS3</v>
      </c>
      <c r="C494" s="5" t="s">
        <v>7</v>
      </c>
      <c r="D494" t="s">
        <v>661</v>
      </c>
      <c r="E494" t="str">
        <f>E433</f>
        <v>PJ/yr.</v>
      </c>
      <c r="F494" s="1">
        <f t="shared" si="293"/>
        <v>5.2552796555307034E-3</v>
      </c>
      <c r="G494" s="1">
        <f t="shared" ref="G494:K494" si="297">IFERROR(G349/G317,0)*G472</f>
        <v>1.1108135500213822E-4</v>
      </c>
      <c r="H494" s="1">
        <f t="shared" si="297"/>
        <v>1.0005223500022654E-2</v>
      </c>
      <c r="I494" s="1">
        <f t="shared" si="297"/>
        <v>8.8938903765112743E-8</v>
      </c>
      <c r="J494" s="1">
        <f t="shared" si="297"/>
        <v>8.5508839500764381E-3</v>
      </c>
      <c r="K494" s="1">
        <f t="shared" si="297"/>
        <v>4.2952131732245179E-2</v>
      </c>
    </row>
    <row r="495" spans="1:18" x14ac:dyDescent="0.3">
      <c r="A495" s="5"/>
      <c r="B495" s="5" t="str">
        <f t="shared" si="255"/>
        <v>SPS3</v>
      </c>
      <c r="C495" s="5" t="s">
        <v>7</v>
      </c>
      <c r="D495" t="s">
        <v>662</v>
      </c>
      <c r="E495" t="str">
        <f>E435</f>
        <v>PJ/yr.</v>
      </c>
      <c r="F495" s="1">
        <f t="shared" si="293"/>
        <v>0</v>
      </c>
      <c r="G495" s="1">
        <f t="shared" ref="G495:K495" si="298">IFERROR(G350/G318,0)*G473</f>
        <v>0</v>
      </c>
      <c r="H495" s="1">
        <f t="shared" si="298"/>
        <v>0</v>
      </c>
      <c r="I495" s="1">
        <f t="shared" si="298"/>
        <v>0</v>
      </c>
      <c r="J495" s="1">
        <f t="shared" si="298"/>
        <v>0</v>
      </c>
      <c r="K495" s="1">
        <f t="shared" si="298"/>
        <v>0</v>
      </c>
    </row>
    <row r="496" spans="1:18" x14ac:dyDescent="0.3">
      <c r="A496" s="5"/>
      <c r="B496" s="5" t="str">
        <f t="shared" si="255"/>
        <v>SPS3</v>
      </c>
      <c r="C496" s="5" t="s">
        <v>7</v>
      </c>
      <c r="D496" t="s">
        <v>663</v>
      </c>
      <c r="E496" t="str">
        <f>E437</f>
        <v>PJ/yr.</v>
      </c>
      <c r="F496" s="1">
        <f t="shared" si="293"/>
        <v>6.6487493644750211E-3</v>
      </c>
      <c r="G496" s="1">
        <f t="shared" ref="G496:K496" si="299">IFERROR(G351/G319,0)*G474</f>
        <v>1.1633291439573396E-4</v>
      </c>
      <c r="H496" s="1">
        <f t="shared" si="299"/>
        <v>1.7054809137701722E-2</v>
      </c>
      <c r="I496" s="1">
        <f t="shared" si="299"/>
        <v>9.0551712690329433E-8</v>
      </c>
      <c r="J496" s="1">
        <f t="shared" si="299"/>
        <v>0.23036843784698327</v>
      </c>
      <c r="K496" s="1">
        <f t="shared" si="299"/>
        <v>1.053534941218977</v>
      </c>
    </row>
    <row r="497" spans="1:11" x14ac:dyDescent="0.3">
      <c r="A497" s="5"/>
      <c r="B497" s="5" t="str">
        <f t="shared" si="255"/>
        <v>SPS3</v>
      </c>
      <c r="C497" s="5" t="s">
        <v>7</v>
      </c>
      <c r="D497" t="s">
        <v>664</v>
      </c>
      <c r="E497" t="str">
        <f>E438</f>
        <v>PJ/yr.</v>
      </c>
      <c r="F497" s="1">
        <f t="shared" si="293"/>
        <v>0</v>
      </c>
      <c r="G497" s="1">
        <f t="shared" ref="G497:K497" si="300">IFERROR(G352/G320,0)*G475</f>
        <v>0</v>
      </c>
      <c r="H497" s="1">
        <f t="shared" si="300"/>
        <v>0</v>
      </c>
      <c r="I497" s="1">
        <f t="shared" si="300"/>
        <v>0</v>
      </c>
      <c r="J497" s="1">
        <f t="shared" si="300"/>
        <v>0</v>
      </c>
      <c r="K497" s="1">
        <f t="shared" si="300"/>
        <v>0</v>
      </c>
    </row>
    <row r="498" spans="1:11" x14ac:dyDescent="0.3">
      <c r="A498" s="5"/>
      <c r="B498" s="5" t="str">
        <f t="shared" si="255"/>
        <v>SPS3</v>
      </c>
      <c r="C498" s="5" t="s">
        <v>7</v>
      </c>
      <c r="D498" t="s">
        <v>665</v>
      </c>
      <c r="E498" t="str">
        <f>E461</f>
        <v>PJ/yr.</v>
      </c>
      <c r="F498" s="1">
        <f>F476</f>
        <v>1.5807095596304741</v>
      </c>
      <c r="G498" s="1">
        <f t="shared" ref="G498:K498" si="301">G476</f>
        <v>1.7925291209504992</v>
      </c>
      <c r="H498" s="1">
        <f t="shared" si="301"/>
        <v>1.7488770087726602</v>
      </c>
      <c r="I498" s="1">
        <f t="shared" si="301"/>
        <v>1.652069854222288</v>
      </c>
      <c r="J498" s="1">
        <f t="shared" si="301"/>
        <v>2.3417231905637252</v>
      </c>
      <c r="K498" s="1">
        <f t="shared" si="301"/>
        <v>2.2666539290566408</v>
      </c>
    </row>
    <row r="499" spans="1:11" x14ac:dyDescent="0.3">
      <c r="A499" s="5"/>
      <c r="B499" s="5" t="str">
        <f t="shared" si="255"/>
        <v>SPS3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2.5274321258324565E-2</v>
      </c>
      <c r="G499" s="1">
        <f t="shared" ref="G499:K499" si="302">IFERROR(G354/G322,0)*G477</f>
        <v>1.2535008131691444E-2</v>
      </c>
      <c r="H499" s="1">
        <f t="shared" si="302"/>
        <v>8.4783955621617422E-3</v>
      </c>
      <c r="I499" s="1">
        <f t="shared" si="302"/>
        <v>1.8949744220680788E-8</v>
      </c>
      <c r="J499" s="1">
        <f t="shared" si="302"/>
        <v>0.54739349179592622</v>
      </c>
      <c r="K499" s="1">
        <f t="shared" si="302"/>
        <v>4.3360886027523568E-3</v>
      </c>
    </row>
    <row r="500" spans="1:11" x14ac:dyDescent="0.3">
      <c r="A500" s="5"/>
      <c r="B500" s="5" t="str">
        <f t="shared" ref="B500:B563" si="303">B499</f>
        <v>SPS3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4">IFERROR(G355/G323,0)*G478</f>
        <v>0</v>
      </c>
      <c r="H500" s="1">
        <f t="shared" si="304"/>
        <v>0</v>
      </c>
      <c r="I500" s="1">
        <f t="shared" si="304"/>
        <v>1.2414517155709501E-8</v>
      </c>
      <c r="J500" s="1">
        <f t="shared" si="304"/>
        <v>3.4811578009176693E-3</v>
      </c>
      <c r="K500" s="1">
        <f t="shared" si="304"/>
        <v>9.4618493724576494E-3</v>
      </c>
    </row>
    <row r="501" spans="1:11" x14ac:dyDescent="0.3">
      <c r="A501" s="5"/>
      <c r="B501" s="5" t="str">
        <f t="shared" si="303"/>
        <v>SPS3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3.3175312821944956</v>
      </c>
      <c r="G501" s="1">
        <f t="shared" ref="G501:K501" si="305">SUM(G502:G503)</f>
        <v>3.3046785118766131</v>
      </c>
      <c r="H501" s="1">
        <f t="shared" si="305"/>
        <v>4.7995603539519358</v>
      </c>
      <c r="I501" s="1">
        <f t="shared" si="305"/>
        <v>4.8294140961458982</v>
      </c>
      <c r="J501" s="1">
        <f t="shared" si="305"/>
        <v>8.822998405041897</v>
      </c>
      <c r="K501" s="1">
        <f t="shared" si="305"/>
        <v>10.626388995890204</v>
      </c>
    </row>
    <row r="502" spans="1:11" x14ac:dyDescent="0.3">
      <c r="A502" s="5"/>
      <c r="B502" s="5" t="str">
        <f t="shared" si="303"/>
        <v>SPS3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3.3175312821944956</v>
      </c>
      <c r="G502" s="6">
        <f>'[1]Electricity and CHPs_IN'!C$44-G361</f>
        <v>3.3046785118766131</v>
      </c>
      <c r="H502" s="6">
        <f>'[1]Electricity and CHPs_IN'!D$44-H361</f>
        <v>4.7995603539519358</v>
      </c>
      <c r="I502" s="6">
        <f>'[1]Electricity and CHPs_IN'!E$44-I361</f>
        <v>4.8294140961458982</v>
      </c>
      <c r="J502" s="6">
        <f>'[1]Electricity and CHPs_IN'!F$44-J361</f>
        <v>8.6211486500169929</v>
      </c>
      <c r="K502" s="6">
        <f>'[1]Electricity and CHPs_IN'!G$44-K361</f>
        <v>6.2707795057399453E-3</v>
      </c>
    </row>
    <row r="503" spans="1:11" x14ac:dyDescent="0.3">
      <c r="A503" s="5"/>
      <c r="B503" s="5" t="str">
        <f t="shared" si="303"/>
        <v>SPS3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0.20184975502490418</v>
      </c>
      <c r="K503" s="1">
        <f>'[1]Electricity and CHPs_IN'!G$45</f>
        <v>10.620118216384464</v>
      </c>
    </row>
    <row r="504" spans="1:11" x14ac:dyDescent="0.3">
      <c r="A504" s="5"/>
      <c r="B504" s="5" t="str">
        <f t="shared" si="303"/>
        <v>SPS3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06">SUM(G505:G506)</f>
        <v>0</v>
      </c>
      <c r="H504" s="1">
        <f t="shared" si="306"/>
        <v>0</v>
      </c>
      <c r="I504" s="1">
        <f t="shared" si="306"/>
        <v>0</v>
      </c>
      <c r="J504" s="1">
        <f t="shared" si="306"/>
        <v>0</v>
      </c>
      <c r="K504" s="1">
        <f t="shared" si="306"/>
        <v>0</v>
      </c>
    </row>
    <row r="505" spans="1:11" x14ac:dyDescent="0.3">
      <c r="A505" s="5"/>
      <c r="B505" s="5" t="str">
        <f t="shared" si="303"/>
        <v>SPS3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3">
      <c r="A506" s="5"/>
      <c r="B506" s="5" t="str">
        <f t="shared" si="303"/>
        <v>SPS3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3">
      <c r="A507" s="5"/>
      <c r="B507" s="5" t="str">
        <f t="shared" si="303"/>
        <v>SPS3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3.3175312821944956</v>
      </c>
      <c r="G507" s="1">
        <f t="shared" ref="G507:K507" si="307">SUM(G508:G509)</f>
        <v>3.3046785118766131</v>
      </c>
      <c r="H507" s="1">
        <f t="shared" si="307"/>
        <v>4.7995603539519358</v>
      </c>
      <c r="I507" s="1">
        <f t="shared" si="307"/>
        <v>4.8294140961458982</v>
      </c>
      <c r="J507" s="1">
        <f t="shared" si="307"/>
        <v>8.822998405041897</v>
      </c>
      <c r="K507" s="1">
        <f t="shared" si="307"/>
        <v>10.626388995890204</v>
      </c>
    </row>
    <row r="508" spans="1:11" x14ac:dyDescent="0.3">
      <c r="A508" s="5"/>
      <c r="B508" s="5" t="str">
        <f t="shared" si="303"/>
        <v>SPS3</v>
      </c>
      <c r="C508" s="5" t="s">
        <v>7</v>
      </c>
      <c r="D508" t="s">
        <v>221</v>
      </c>
      <c r="E508" t="str">
        <f>E411</f>
        <v>PJ/yr.</v>
      </c>
      <c r="F508" s="1">
        <f>F502</f>
        <v>3.3175312821944956</v>
      </c>
      <c r="G508" s="1">
        <f t="shared" ref="G508:K508" si="308">G502</f>
        <v>3.3046785118766131</v>
      </c>
      <c r="H508" s="1">
        <f t="shared" si="308"/>
        <v>4.7995603539519358</v>
      </c>
      <c r="I508" s="1">
        <f t="shared" si="308"/>
        <v>4.8294140961458982</v>
      </c>
      <c r="J508" s="1">
        <f t="shared" si="308"/>
        <v>8.6211486500169929</v>
      </c>
      <c r="K508" s="1">
        <f t="shared" si="308"/>
        <v>6.2707795057399453E-3</v>
      </c>
    </row>
    <row r="509" spans="1:11" x14ac:dyDescent="0.3">
      <c r="A509" s="5"/>
      <c r="B509" s="5" t="str">
        <f t="shared" si="303"/>
        <v>SPS3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09">G503</f>
        <v>0</v>
      </c>
      <c r="H509" s="1">
        <f t="shared" si="309"/>
        <v>0</v>
      </c>
      <c r="I509" s="1">
        <f t="shared" si="309"/>
        <v>0</v>
      </c>
      <c r="J509" s="1">
        <f t="shared" si="309"/>
        <v>0.20184975502490418</v>
      </c>
      <c r="K509" s="1">
        <f t="shared" si="309"/>
        <v>10.620118216384464</v>
      </c>
    </row>
    <row r="510" spans="1:11" x14ac:dyDescent="0.3">
      <c r="A510" s="5"/>
      <c r="B510" s="5" t="str">
        <f t="shared" si="303"/>
        <v>SPS3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0.69270596589466926</v>
      </c>
      <c r="G510" s="1">
        <f t="shared" ref="G510:K510" si="310">SUM(G511:G515)</f>
        <v>1.7947291983801659</v>
      </c>
      <c r="H510" s="1">
        <f t="shared" si="310"/>
        <v>3.3660795507496415</v>
      </c>
      <c r="I510" s="1">
        <f t="shared" si="310"/>
        <v>4.4319442633001209</v>
      </c>
      <c r="J510" s="1">
        <f t="shared" si="310"/>
        <v>7.0633760611908833</v>
      </c>
      <c r="K510" s="1">
        <f t="shared" si="310"/>
        <v>7.5737520138050316</v>
      </c>
    </row>
    <row r="511" spans="1:11" x14ac:dyDescent="0.3">
      <c r="A511" s="5"/>
      <c r="B511" s="5" t="str">
        <f t="shared" si="303"/>
        <v>SPS3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0.69270596589466926</v>
      </c>
      <c r="G511" s="6">
        <f>'[1]Electricity and CHPs_IN'!C$42-G380</f>
        <v>1.7947291983801659</v>
      </c>
      <c r="H511" s="6">
        <f>'[1]Electricity and CHPs_IN'!D$42-H380</f>
        <v>3.3660795507496415</v>
      </c>
      <c r="I511" s="6">
        <f>'[1]Electricity and CHPs_IN'!E$42-I380</f>
        <v>4.4124096488487323</v>
      </c>
      <c r="J511" s="6">
        <f>'[1]Electricity and CHPs_IN'!F$42-J380</f>
        <v>2.2882392954596895</v>
      </c>
      <c r="K511" s="6">
        <f>'[1]Electricity and CHPs_IN'!G$42-K380</f>
        <v>0.57336502062234684</v>
      </c>
    </row>
    <row r="512" spans="1:11" x14ac:dyDescent="0.3">
      <c r="A512" s="5"/>
      <c r="B512" s="5" t="str">
        <f t="shared" si="303"/>
        <v>SPS3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4.4798821951048851</v>
      </c>
      <c r="K512" s="1">
        <f>'[1]Electricity and CHPs_IN'!G$43-K381</f>
        <v>6.904482220652624</v>
      </c>
    </row>
    <row r="513" spans="1:11" x14ac:dyDescent="0.3">
      <c r="A513" s="5"/>
      <c r="B513" s="5" t="str">
        <f t="shared" si="303"/>
        <v>SPS3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7.3196058845829927E-3</v>
      </c>
      <c r="J513" s="1">
        <f>'[1]Electricity and CHPs_IN'!F$50-J382</f>
        <v>8.5977507199404488E-2</v>
      </c>
      <c r="K513" s="1">
        <f>'[1]Electricity and CHPs_IN'!G$50-K382</f>
        <v>2.8299391148663554E-2</v>
      </c>
    </row>
    <row r="514" spans="1:11" x14ac:dyDescent="0.3">
      <c r="A514" s="5"/>
      <c r="B514" s="5" t="str">
        <f t="shared" si="303"/>
        <v>SPS3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1.1033303560533496E-2</v>
      </c>
      <c r="J514" s="1">
        <f>'[1]Electricity and CHPs_IN'!F$53-J383</f>
        <v>0.16243962019355621</v>
      </c>
      <c r="K514" s="1">
        <f>'[1]Electricity and CHPs_IN'!G$53-K383</f>
        <v>6.0483105427804752E-2</v>
      </c>
    </row>
    <row r="515" spans="1:11" x14ac:dyDescent="0.3">
      <c r="A515" s="5"/>
      <c r="B515" s="5" t="str">
        <f t="shared" si="303"/>
        <v>SPS3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1.1817050062722352E-3</v>
      </c>
      <c r="J515" s="1">
        <f>'[1]Electricity and CHPs_IN'!F$56-J384</f>
        <v>4.683744323334782E-2</v>
      </c>
      <c r="K515" s="1">
        <f>'[1]Electricity and CHPs_IN'!G$56-K384</f>
        <v>7.1222759535929043E-3</v>
      </c>
    </row>
    <row r="516" spans="1:11" x14ac:dyDescent="0.3">
      <c r="A516" s="5"/>
      <c r="B516" s="5" t="str">
        <f t="shared" si="303"/>
        <v>SPS3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1">SUM(G517:G518)</f>
        <v>0</v>
      </c>
      <c r="H516" s="1">
        <f t="shared" si="311"/>
        <v>0</v>
      </c>
      <c r="I516" s="1">
        <f t="shared" si="311"/>
        <v>1.6709889545129249E-3</v>
      </c>
      <c r="J516" s="1">
        <f t="shared" si="311"/>
        <v>7.4923216086882159E-3</v>
      </c>
      <c r="K516" s="1">
        <f t="shared" si="311"/>
        <v>2.7717188475411634</v>
      </c>
    </row>
    <row r="517" spans="1:11" x14ac:dyDescent="0.3">
      <c r="A517" s="5"/>
      <c r="B517" s="5" t="str">
        <f t="shared" si="303"/>
        <v>SPS3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0</v>
      </c>
      <c r="J517" s="1">
        <f>'[1]Electricity and CHPs_IN'!F$46-J397</f>
        <v>4.1968521059127075E-3</v>
      </c>
      <c r="K517" s="1">
        <f>'[1]Electricity and CHPs_IN'!G$46-K397</f>
        <v>2.7516810381650298</v>
      </c>
    </row>
    <row r="518" spans="1:11" x14ac:dyDescent="0.3">
      <c r="A518" s="5"/>
      <c r="B518" s="5" t="str">
        <f t="shared" si="303"/>
        <v>SPS3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1.6709889545129249E-3</v>
      </c>
      <c r="J518" s="1">
        <f>'[1]Electricity and CHPs_IN'!F$57-J398</f>
        <v>3.2954695027755084E-3</v>
      </c>
      <c r="K518" s="1">
        <f>'[1]Electricity and CHPs_IN'!G$57-K398</f>
        <v>2.0037809376133385E-2</v>
      </c>
    </row>
    <row r="519" spans="1:11" x14ac:dyDescent="0.3">
      <c r="A519" s="5"/>
      <c r="B519" s="9" t="str">
        <f t="shared" si="303"/>
        <v>SPS3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3">
      <c r="A520" s="5"/>
      <c r="B520" s="5" t="str">
        <f t="shared" si="303"/>
        <v>SPS3</v>
      </c>
      <c r="C520" s="5" t="s">
        <v>7</v>
      </c>
      <c r="D520" t="s">
        <v>242</v>
      </c>
      <c r="E520" s="5" t="s">
        <v>240</v>
      </c>
      <c r="F520" s="13">
        <f t="shared" ref="F520:K520" si="312">IFERROR(F63/F291,"-")</f>
        <v>0.32978917138328984</v>
      </c>
      <c r="G520" s="13">
        <f t="shared" si="312"/>
        <v>0.32672808006165655</v>
      </c>
      <c r="H520" s="13">
        <f t="shared" si="312"/>
        <v>0.32586948873767524</v>
      </c>
      <c r="I520" s="13">
        <f t="shared" si="312"/>
        <v>0.33016264976377574</v>
      </c>
      <c r="J520" s="13">
        <f t="shared" si="312"/>
        <v>0.33170584005147596</v>
      </c>
      <c r="K520" s="13" t="str">
        <f t="shared" si="312"/>
        <v>-</v>
      </c>
    </row>
    <row r="521" spans="1:11" x14ac:dyDescent="0.3">
      <c r="A521" s="5"/>
      <c r="B521" s="5" t="str">
        <f t="shared" si="303"/>
        <v>SPS3</v>
      </c>
      <c r="C521" s="5" t="s">
        <v>7</v>
      </c>
      <c r="D521" t="s">
        <v>243</v>
      </c>
      <c r="E521" s="5" t="s">
        <v>240</v>
      </c>
      <c r="F521" s="13">
        <f t="shared" ref="F521:K523" si="313">IFERROR(F65/F293,"-")</f>
        <v>1</v>
      </c>
      <c r="G521" s="13">
        <f t="shared" si="313"/>
        <v>1</v>
      </c>
      <c r="H521" s="13">
        <f t="shared" si="313"/>
        <v>1</v>
      </c>
      <c r="I521" s="13">
        <f t="shared" si="313"/>
        <v>1</v>
      </c>
      <c r="J521" s="13">
        <f t="shared" si="313"/>
        <v>1</v>
      </c>
      <c r="K521" s="13">
        <f t="shared" si="313"/>
        <v>1</v>
      </c>
    </row>
    <row r="522" spans="1:11" x14ac:dyDescent="0.3">
      <c r="A522" s="5"/>
      <c r="B522" s="5" t="str">
        <f t="shared" si="303"/>
        <v>SPS3</v>
      </c>
      <c r="C522" s="5" t="s">
        <v>7</v>
      </c>
      <c r="D522" t="s">
        <v>244</v>
      </c>
      <c r="E522" s="5" t="s">
        <v>240</v>
      </c>
      <c r="F522" s="13">
        <f t="shared" si="313"/>
        <v>1</v>
      </c>
      <c r="G522" s="13">
        <f t="shared" si="313"/>
        <v>1</v>
      </c>
      <c r="H522" s="13">
        <f t="shared" si="313"/>
        <v>1</v>
      </c>
      <c r="I522" s="13">
        <f t="shared" si="313"/>
        <v>1</v>
      </c>
      <c r="J522" s="13">
        <f t="shared" si="313"/>
        <v>1</v>
      </c>
      <c r="K522" s="13">
        <f t="shared" si="313"/>
        <v>1</v>
      </c>
    </row>
    <row r="523" spans="1:11" x14ac:dyDescent="0.3">
      <c r="A523" s="5"/>
      <c r="B523" s="5" t="str">
        <f t="shared" si="303"/>
        <v>SPS3</v>
      </c>
      <c r="C523" s="5" t="s">
        <v>7</v>
      </c>
      <c r="D523" t="s">
        <v>245</v>
      </c>
      <c r="E523" s="5" t="s">
        <v>240</v>
      </c>
      <c r="F523" s="13">
        <f t="shared" si="313"/>
        <v>0.79999998252831073</v>
      </c>
      <c r="G523" s="13">
        <f t="shared" si="313"/>
        <v>0.79999969533080861</v>
      </c>
      <c r="H523" s="13">
        <f t="shared" si="313"/>
        <v>0.79999987400215611</v>
      </c>
      <c r="I523" s="13">
        <f t="shared" si="313"/>
        <v>0.80000034011026777</v>
      </c>
      <c r="J523" s="13">
        <f t="shared" si="313"/>
        <v>0.80000075069273957</v>
      </c>
      <c r="K523" s="13">
        <f t="shared" si="313"/>
        <v>0.80000062193474775</v>
      </c>
    </row>
    <row r="524" spans="1:11" x14ac:dyDescent="0.3">
      <c r="A524" s="5"/>
      <c r="B524" s="5" t="str">
        <f t="shared" si="303"/>
        <v>SPS3</v>
      </c>
      <c r="C524" s="5" t="s">
        <v>7</v>
      </c>
      <c r="D524" t="s">
        <v>246</v>
      </c>
      <c r="E524" s="5" t="s">
        <v>240</v>
      </c>
      <c r="F524" s="13">
        <f>IFERROR(F69/F297,"-")</f>
        <v>0.21609633886247573</v>
      </c>
      <c r="G524" s="13">
        <f t="shared" ref="G524:K524" si="314">IFERROR(G69/G297,"-")</f>
        <v>2.5787818255088239E-2</v>
      </c>
      <c r="H524" s="13">
        <f t="shared" si="314"/>
        <v>0.28044490298177865</v>
      </c>
      <c r="I524" s="13">
        <f t="shared" si="314"/>
        <v>0.31247923311712045</v>
      </c>
      <c r="J524" s="13">
        <f t="shared" si="314"/>
        <v>0.2970219994270672</v>
      </c>
      <c r="K524" s="13">
        <f t="shared" si="314"/>
        <v>0.29712315311177157</v>
      </c>
    </row>
    <row r="525" spans="1:11" x14ac:dyDescent="0.3">
      <c r="A525" s="5"/>
      <c r="B525" s="5" t="str">
        <f t="shared" si="303"/>
        <v>SPS3</v>
      </c>
      <c r="C525" s="5" t="s">
        <v>7</v>
      </c>
      <c r="D525" t="s">
        <v>247</v>
      </c>
      <c r="E525" s="5" t="s">
        <v>240</v>
      </c>
      <c r="F525" s="13">
        <f>IFERROR(F70/(F298+F411),"-")</f>
        <v>2.2763512720560417E-2</v>
      </c>
      <c r="G525" s="13">
        <f t="shared" ref="G525:K525" si="315">IFERROR(G70/(G298+G411),"-")</f>
        <v>1.5046829650513915E-2</v>
      </c>
      <c r="H525" s="13">
        <f t="shared" si="315"/>
        <v>9.3549022149204353E-2</v>
      </c>
      <c r="I525" s="13">
        <f t="shared" si="315"/>
        <v>0.11502495781758779</v>
      </c>
      <c r="J525" s="13">
        <f t="shared" si="315"/>
        <v>9.6404360855387797E-2</v>
      </c>
      <c r="K525" s="13">
        <f t="shared" si="315"/>
        <v>9.8587660950128109E-2</v>
      </c>
    </row>
    <row r="526" spans="1:11" x14ac:dyDescent="0.3">
      <c r="A526" s="5"/>
      <c r="B526" s="5" t="str">
        <f t="shared" si="303"/>
        <v>SPS3</v>
      </c>
      <c r="C526" s="5" t="s">
        <v>7</v>
      </c>
      <c r="D526" t="s">
        <v>248</v>
      </c>
      <c r="E526" s="5" t="s">
        <v>240</v>
      </c>
      <c r="F526" s="13">
        <f>IFERROR(F71/(F299+F463),"-")</f>
        <v>0.20102060056574619</v>
      </c>
      <c r="G526" s="13">
        <f t="shared" ref="G526:K526" si="316">IFERROR(G71/(G299+G463),"-")</f>
        <v>0.24595370082909032</v>
      </c>
      <c r="H526" s="13">
        <f t="shared" si="316"/>
        <v>0.19877959682173685</v>
      </c>
      <c r="I526" s="13">
        <f t="shared" si="316"/>
        <v>0.21703767900890905</v>
      </c>
      <c r="J526" s="13">
        <f t="shared" si="316"/>
        <v>5.8504936360928496E-2</v>
      </c>
      <c r="K526" s="13">
        <f t="shared" si="316"/>
        <v>0.26216812670241058</v>
      </c>
    </row>
    <row r="527" spans="1:11" x14ac:dyDescent="0.3">
      <c r="A527" s="5"/>
      <c r="B527" s="5" t="str">
        <f t="shared" si="303"/>
        <v>SPS3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17">IFERROR(G81/G309,"-")</f>
        <v>-</v>
      </c>
      <c r="H527" s="13" t="str">
        <f t="shared" si="317"/>
        <v>-</v>
      </c>
      <c r="I527" s="13" t="str">
        <f t="shared" si="317"/>
        <v>-</v>
      </c>
      <c r="J527" s="13">
        <f t="shared" si="317"/>
        <v>0.61996850937183967</v>
      </c>
      <c r="K527" s="13">
        <f t="shared" si="317"/>
        <v>0.5784226693980824</v>
      </c>
    </row>
    <row r="528" spans="1:11" x14ac:dyDescent="0.3">
      <c r="A528" s="5"/>
      <c r="B528" s="5" t="str">
        <f t="shared" si="303"/>
        <v>SPS3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 t="str">
        <f t="shared" ref="G528:K528" si="318">IFERROR(G82/G310,"-")</f>
        <v>-</v>
      </c>
      <c r="H528" s="13" t="str">
        <f t="shared" si="318"/>
        <v>-</v>
      </c>
      <c r="I528" s="13">
        <f t="shared" si="318"/>
        <v>0.35189667822812304</v>
      </c>
      <c r="J528" s="13">
        <f t="shared" si="318"/>
        <v>0.39664237872673547</v>
      </c>
      <c r="K528" s="13">
        <f t="shared" si="318"/>
        <v>0.40414395022795752</v>
      </c>
    </row>
    <row r="529" spans="1:11" x14ac:dyDescent="0.3">
      <c r="A529" s="5"/>
      <c r="B529" s="5" t="str">
        <f t="shared" si="303"/>
        <v>SPS3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19">IFERROR(G83/G311,"-")</f>
        <v>-</v>
      </c>
      <c r="H529" s="13" t="str">
        <f t="shared" si="319"/>
        <v>-</v>
      </c>
      <c r="I529" s="13" t="str">
        <f t="shared" si="319"/>
        <v>-</v>
      </c>
      <c r="J529" s="13">
        <f t="shared" si="319"/>
        <v>0.50079811329347235</v>
      </c>
      <c r="K529" s="13">
        <f t="shared" si="319"/>
        <v>0.54809873348401605</v>
      </c>
    </row>
    <row r="530" spans="1:11" x14ac:dyDescent="0.3">
      <c r="A530" s="5"/>
      <c r="B530" s="5" t="str">
        <f t="shared" si="303"/>
        <v>SPS3</v>
      </c>
      <c r="C530" s="5" t="s">
        <v>7</v>
      </c>
      <c r="D530" t="s">
        <v>252</v>
      </c>
      <c r="E530" s="5" t="s">
        <v>240</v>
      </c>
      <c r="F530" s="13">
        <f>IFERROR(F84/SUM(F312,F417),"-")</f>
        <v>0.25043585153487502</v>
      </c>
      <c r="G530" s="13">
        <f t="shared" ref="G530:K530" si="320">IFERROR(G84/SUM(G312,G417),"-")</f>
        <v>0.10602872120296643</v>
      </c>
      <c r="H530" s="13">
        <f t="shared" si="320"/>
        <v>0.20405334373055084</v>
      </c>
      <c r="I530" s="13">
        <f t="shared" si="320"/>
        <v>0.17138388592128137</v>
      </c>
      <c r="J530" s="13">
        <f t="shared" si="320"/>
        <v>0.21257387784668633</v>
      </c>
      <c r="K530" s="13">
        <f t="shared" si="320"/>
        <v>0.21778596864214286</v>
      </c>
    </row>
    <row r="531" spans="1:11" x14ac:dyDescent="0.3">
      <c r="A531" s="5"/>
      <c r="B531" s="5" t="str">
        <f t="shared" si="303"/>
        <v>SPS3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1">IFERROR(G85/SUM(G313,G418),"-")</f>
        <v>-</v>
      </c>
      <c r="H531" s="13" t="str">
        <f t="shared" si="321"/>
        <v>-</v>
      </c>
      <c r="I531" s="13" t="str">
        <f t="shared" si="321"/>
        <v>-</v>
      </c>
      <c r="J531" s="13">
        <f t="shared" si="321"/>
        <v>0.39999999999999963</v>
      </c>
      <c r="K531" s="13">
        <f t="shared" si="321"/>
        <v>0.4000000000000003</v>
      </c>
    </row>
    <row r="532" spans="1:11" x14ac:dyDescent="0.3">
      <c r="A532" s="5"/>
      <c r="B532" s="5" t="str">
        <f t="shared" si="303"/>
        <v>SPS3</v>
      </c>
      <c r="C532" s="5" t="s">
        <v>7</v>
      </c>
      <c r="D532" t="s">
        <v>254</v>
      </c>
      <c r="E532" s="5" t="s">
        <v>240</v>
      </c>
      <c r="F532" s="13">
        <f>IFERROR(F86/SUM(F314,F469),"-'")</f>
        <v>0.33478368693619259</v>
      </c>
      <c r="G532" s="13">
        <f t="shared" ref="G532:K532" si="322">IFERROR(G86/SUM(G314,G469),"-'")</f>
        <v>0.34934946731400701</v>
      </c>
      <c r="H532" s="13">
        <f t="shared" si="322"/>
        <v>0.32668188529875181</v>
      </c>
      <c r="I532" s="13">
        <f t="shared" si="322"/>
        <v>0.35991904043116529</v>
      </c>
      <c r="J532" s="13">
        <f t="shared" si="322"/>
        <v>0.27322809099897116</v>
      </c>
      <c r="K532" s="13">
        <f t="shared" si="322"/>
        <v>0.21457205575830926</v>
      </c>
    </row>
    <row r="533" spans="1:11" x14ac:dyDescent="0.3">
      <c r="A533" s="5"/>
      <c r="B533" s="5" t="str">
        <f t="shared" si="303"/>
        <v>SPS3</v>
      </c>
      <c r="C533" s="5" t="s">
        <v>7</v>
      </c>
      <c r="D533" t="s">
        <v>255</v>
      </c>
      <c r="E533" s="5" t="s">
        <v>240</v>
      </c>
      <c r="F533" s="13" t="str">
        <f t="shared" ref="F533:F541" si="323">IFERROR(F87/SUM(F315,F470),"-")</f>
        <v>-</v>
      </c>
      <c r="G533" s="13" t="str">
        <f t="shared" ref="G533:K533" si="324">IFERROR(G87/SUM(G315,G470),"-")</f>
        <v>-</v>
      </c>
      <c r="H533" s="13" t="str">
        <f t="shared" si="324"/>
        <v>-</v>
      </c>
      <c r="I533" s="13" t="str">
        <f t="shared" si="324"/>
        <v>-</v>
      </c>
      <c r="J533" s="13">
        <f t="shared" si="324"/>
        <v>0.28257326421761569</v>
      </c>
      <c r="K533" s="13">
        <f t="shared" si="324"/>
        <v>0.31738478074284082</v>
      </c>
    </row>
    <row r="534" spans="1:11" x14ac:dyDescent="0.3">
      <c r="A534" s="5"/>
      <c r="B534" s="5" t="str">
        <f t="shared" si="303"/>
        <v>SPS3</v>
      </c>
      <c r="C534" s="5" t="s">
        <v>7</v>
      </c>
      <c r="D534" t="s">
        <v>256</v>
      </c>
      <c r="E534" s="5" t="s">
        <v>240</v>
      </c>
      <c r="F534" s="13" t="str">
        <f t="shared" si="323"/>
        <v>-</v>
      </c>
      <c r="G534" s="13" t="str">
        <f t="shared" ref="G534:K534" si="325">IFERROR(G88/SUM(G316,G471),"-")</f>
        <v>-</v>
      </c>
      <c r="H534" s="13" t="str">
        <f t="shared" si="325"/>
        <v>-</v>
      </c>
      <c r="I534" s="13" t="str">
        <f t="shared" si="325"/>
        <v>-</v>
      </c>
      <c r="J534" s="13" t="str">
        <f t="shared" si="325"/>
        <v>-</v>
      </c>
      <c r="K534" s="13" t="str">
        <f t="shared" si="325"/>
        <v>-</v>
      </c>
    </row>
    <row r="535" spans="1:11" x14ac:dyDescent="0.3">
      <c r="A535" s="5"/>
      <c r="B535" s="5" t="str">
        <f t="shared" si="303"/>
        <v>SPS3</v>
      </c>
      <c r="C535" s="5" t="s">
        <v>7</v>
      </c>
      <c r="D535" t="s">
        <v>257</v>
      </c>
      <c r="E535" s="5" t="s">
        <v>240</v>
      </c>
      <c r="F535" s="13">
        <f t="shared" si="323"/>
        <v>0.13058191114683712</v>
      </c>
      <c r="G535" s="13">
        <f t="shared" ref="G535:K535" si="326">IFERROR(G89/SUM(G317,G472),"-")</f>
        <v>0.19605036294116501</v>
      </c>
      <c r="H535" s="13">
        <f t="shared" si="326"/>
        <v>0.10127633469577246</v>
      </c>
      <c r="I535" s="13">
        <f t="shared" si="326"/>
        <v>0.2063308846474208</v>
      </c>
      <c r="J535" s="13">
        <f t="shared" si="326"/>
        <v>0.25136470283585821</v>
      </c>
      <c r="K535" s="13">
        <f t="shared" si="326"/>
        <v>0.28026769145903252</v>
      </c>
    </row>
    <row r="536" spans="1:11" x14ac:dyDescent="0.3">
      <c r="A536" s="5"/>
      <c r="B536" s="5" t="str">
        <f t="shared" si="303"/>
        <v>SPS3</v>
      </c>
      <c r="C536" s="5" t="s">
        <v>7</v>
      </c>
      <c r="D536" t="s">
        <v>258</v>
      </c>
      <c r="E536" s="5" t="s">
        <v>240</v>
      </c>
      <c r="F536" s="13" t="str">
        <f t="shared" si="323"/>
        <v>-</v>
      </c>
      <c r="G536" s="13" t="str">
        <f t="shared" ref="G536:K536" si="327">IFERROR(G90/SUM(G318,G473),"-")</f>
        <v>-</v>
      </c>
      <c r="H536" s="13" t="str">
        <f t="shared" si="327"/>
        <v>-</v>
      </c>
      <c r="I536" s="13">
        <f t="shared" si="327"/>
        <v>0.42000000000000004</v>
      </c>
      <c r="J536" s="13">
        <f t="shared" si="327"/>
        <v>0.44000000000000006</v>
      </c>
      <c r="K536" s="13">
        <f t="shared" si="327"/>
        <v>0.44999999999999996</v>
      </c>
    </row>
    <row r="537" spans="1:11" x14ac:dyDescent="0.3">
      <c r="A537" s="5"/>
      <c r="B537" s="5" t="str">
        <f t="shared" si="303"/>
        <v>SPS3</v>
      </c>
      <c r="C537" s="5" t="s">
        <v>7</v>
      </c>
      <c r="D537" t="s">
        <v>259</v>
      </c>
      <c r="E537" s="5" t="s">
        <v>240</v>
      </c>
      <c r="F537" s="13">
        <f t="shared" si="323"/>
        <v>0.16584914409245402</v>
      </c>
      <c r="G537" s="13">
        <f t="shared" ref="G537:K537" si="328">IFERROR(G91/SUM(G319,G474),"-")</f>
        <v>0.21639607945631964</v>
      </c>
      <c r="H537" s="13">
        <f t="shared" si="328"/>
        <v>0.19543341857012764</v>
      </c>
      <c r="I537" s="13">
        <f t="shared" si="328"/>
        <v>0.21135373207756689</v>
      </c>
      <c r="J537" s="13">
        <f t="shared" si="328"/>
        <v>0.30314072409274367</v>
      </c>
      <c r="K537" s="13">
        <f t="shared" si="328"/>
        <v>0.30943919121153596</v>
      </c>
    </row>
    <row r="538" spans="1:11" x14ac:dyDescent="0.3">
      <c r="A538" s="5"/>
      <c r="B538" s="5" t="str">
        <f t="shared" si="303"/>
        <v>SPS3</v>
      </c>
      <c r="C538" s="5" t="s">
        <v>7</v>
      </c>
      <c r="D538" t="s">
        <v>260</v>
      </c>
      <c r="E538" s="5" t="s">
        <v>240</v>
      </c>
      <c r="F538" s="13" t="str">
        <f t="shared" si="323"/>
        <v>-</v>
      </c>
      <c r="G538" s="13" t="str">
        <f t="shared" ref="G538:K538" si="329">IFERROR(G92/SUM(G320,G475),"-")</f>
        <v>-</v>
      </c>
      <c r="H538" s="13" t="str">
        <f t="shared" si="329"/>
        <v>-</v>
      </c>
      <c r="I538" s="13">
        <f t="shared" si="329"/>
        <v>0.41999999999999987</v>
      </c>
      <c r="J538" s="13">
        <f t="shared" si="329"/>
        <v>0.43999999999999989</v>
      </c>
      <c r="K538" s="13">
        <f t="shared" si="329"/>
        <v>0.44999999999999996</v>
      </c>
    </row>
    <row r="539" spans="1:11" x14ac:dyDescent="0.3">
      <c r="A539" s="5"/>
      <c r="B539" s="5" t="str">
        <f t="shared" si="303"/>
        <v>SPS3</v>
      </c>
      <c r="C539" s="5" t="s">
        <v>7</v>
      </c>
      <c r="D539" t="s">
        <v>261</v>
      </c>
      <c r="E539" s="5" t="s">
        <v>240</v>
      </c>
      <c r="F539" s="13">
        <f t="shared" si="323"/>
        <v>0.36265573381738997</v>
      </c>
      <c r="G539" s="13">
        <f t="shared" ref="G539:K539" si="330">IFERROR(G93/SUM(G321,G476),"-")</f>
        <v>0.36278441753876844</v>
      </c>
      <c r="H539" s="13">
        <f t="shared" si="330"/>
        <v>0.36223728943994371</v>
      </c>
      <c r="I539" s="13">
        <f t="shared" si="330"/>
        <v>0.36474908055418664</v>
      </c>
      <c r="J539" s="13">
        <f t="shared" si="330"/>
        <v>0.37261015516977264</v>
      </c>
      <c r="K539" s="13">
        <f t="shared" si="330"/>
        <v>0.38495898010241814</v>
      </c>
    </row>
    <row r="540" spans="1:11" x14ac:dyDescent="0.3">
      <c r="A540" s="5"/>
      <c r="B540" s="5" t="str">
        <f t="shared" si="303"/>
        <v>SPS3</v>
      </c>
      <c r="C540" s="5" t="s">
        <v>7</v>
      </c>
      <c r="D540" t="s">
        <v>262</v>
      </c>
      <c r="E540" s="5" t="s">
        <v>240</v>
      </c>
      <c r="F540" s="13">
        <f t="shared" si="323"/>
        <v>0.32781290707715127</v>
      </c>
      <c r="G540" s="13">
        <f t="shared" ref="G540:K540" si="331">IFERROR(G94/SUM(G322,G477),"-")</f>
        <v>0.35970119207467094</v>
      </c>
      <c r="H540" s="13">
        <f t="shared" si="331"/>
        <v>0.24518361936165012</v>
      </c>
      <c r="I540" s="13">
        <f t="shared" si="331"/>
        <v>0.23874438010003884</v>
      </c>
      <c r="J540" s="13">
        <f t="shared" si="331"/>
        <v>0.35981854102607991</v>
      </c>
      <c r="K540" s="13">
        <f t="shared" si="331"/>
        <v>0.30668681635701722</v>
      </c>
    </row>
    <row r="541" spans="1:11" x14ac:dyDescent="0.3">
      <c r="A541" s="5"/>
      <c r="B541" s="5" t="str">
        <f t="shared" si="303"/>
        <v>SPS3</v>
      </c>
      <c r="C541" s="5" t="s">
        <v>7</v>
      </c>
      <c r="D541" t="s">
        <v>263</v>
      </c>
      <c r="E541" s="5" t="s">
        <v>240</v>
      </c>
      <c r="F541" s="13" t="str">
        <f t="shared" si="323"/>
        <v>-</v>
      </c>
      <c r="G541" s="13" t="str">
        <f t="shared" ref="G541:K541" si="332">IFERROR(G95/SUM(G323,G478),"-")</f>
        <v>-</v>
      </c>
      <c r="H541" s="13" t="str">
        <f t="shared" si="332"/>
        <v>-</v>
      </c>
      <c r="I541" s="13">
        <f t="shared" si="332"/>
        <v>0.60000000000000109</v>
      </c>
      <c r="J541" s="13">
        <f t="shared" si="332"/>
        <v>0.61000000000000021</v>
      </c>
      <c r="K541" s="13">
        <f t="shared" si="332"/>
        <v>0.62000000000000022</v>
      </c>
    </row>
    <row r="542" spans="1:11" x14ac:dyDescent="0.3">
      <c r="B542" s="5" t="str">
        <f t="shared" si="303"/>
        <v>SPS3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0.35745695376016584</v>
      </c>
      <c r="G542" s="13">
        <f t="shared" ref="G542:K542" si="333">IFERROR(G129/G357,"-")</f>
        <v>0.35745695376016617</v>
      </c>
      <c r="H542" s="13">
        <f t="shared" si="333"/>
        <v>0.35745695376016606</v>
      </c>
      <c r="I542" s="13">
        <f t="shared" si="333"/>
        <v>0.35745695376016601</v>
      </c>
      <c r="J542" s="13">
        <f t="shared" si="333"/>
        <v>0.35745695376016628</v>
      </c>
      <c r="K542" s="13">
        <f t="shared" si="333"/>
        <v>0.35745695376016623</v>
      </c>
    </row>
    <row r="543" spans="1:11" x14ac:dyDescent="0.3">
      <c r="B543" s="5" t="str">
        <f t="shared" si="303"/>
        <v>SPS3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4">IFERROR(G130/G358,"-")</f>
        <v>-</v>
      </c>
      <c r="H543" s="13" t="str">
        <f t="shared" si="334"/>
        <v>-</v>
      </c>
      <c r="I543" s="13" t="str">
        <f t="shared" si="334"/>
        <v>-</v>
      </c>
      <c r="J543" s="13">
        <f t="shared" si="334"/>
        <v>0.33470839322286888</v>
      </c>
      <c r="K543" s="13">
        <f t="shared" si="334"/>
        <v>0.34140256108732597</v>
      </c>
    </row>
    <row r="544" spans="1:11" x14ac:dyDescent="0.3">
      <c r="B544" s="5" t="str">
        <f t="shared" si="303"/>
        <v>SPS3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3.8247622369990096E-2</v>
      </c>
      <c r="G544" s="13">
        <f t="shared" ref="G544:K544" si="335">IFERROR(G131/SUM(G359,G426),"-")</f>
        <v>3.7721409229781788E-2</v>
      </c>
      <c r="H544" s="13">
        <f t="shared" si="335"/>
        <v>3.807239464131594E-2</v>
      </c>
      <c r="I544" s="13">
        <f t="shared" si="335"/>
        <v>3.6296032526026104E-2</v>
      </c>
      <c r="J544" s="13">
        <f t="shared" si="335"/>
        <v>3.4297687535287065E-2</v>
      </c>
      <c r="K544" s="13">
        <f t="shared" si="335"/>
        <v>2.5302231725284764E-2</v>
      </c>
    </row>
    <row r="545" spans="2:11" x14ac:dyDescent="0.3">
      <c r="B545" s="5" t="str">
        <f t="shared" si="303"/>
        <v>SPS3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36">IFERROR(G132/SUM(G360,G427),"-")</f>
        <v>-</v>
      </c>
      <c r="H545" s="13" t="str">
        <f t="shared" si="336"/>
        <v>-</v>
      </c>
      <c r="I545" s="13" t="str">
        <f t="shared" si="336"/>
        <v>-</v>
      </c>
      <c r="J545" s="13">
        <f t="shared" si="336"/>
        <v>4.8242849883234802E-2</v>
      </c>
      <c r="K545" s="13">
        <f t="shared" si="336"/>
        <v>5.4000000000000062E-2</v>
      </c>
    </row>
    <row r="546" spans="2:11" x14ac:dyDescent="0.3">
      <c r="B546" s="5" t="str">
        <f t="shared" si="303"/>
        <v>SPS3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6.1976028035403127E-2</v>
      </c>
      <c r="G546" s="13">
        <f t="shared" ref="G546:K546" si="337">IFERROR(G133/SUM(G361,G502),"-")</f>
        <v>6.1974269509201999E-2</v>
      </c>
      <c r="H546" s="13">
        <f t="shared" si="337"/>
        <v>6.1972650567355257E-2</v>
      </c>
      <c r="I546" s="13">
        <f t="shared" si="337"/>
        <v>6.1972650567355216E-2</v>
      </c>
      <c r="J546" s="13">
        <f t="shared" si="337"/>
        <v>6.1972650567355327E-2</v>
      </c>
      <c r="K546" s="13">
        <f t="shared" si="337"/>
        <v>6.1972650567355313E-2</v>
      </c>
    </row>
    <row r="547" spans="2:11" x14ac:dyDescent="0.3">
      <c r="B547" s="5" t="str">
        <f t="shared" si="303"/>
        <v>SPS3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38">IFERROR(G134/SUM(G362,G503),"-")</f>
        <v>-</v>
      </c>
      <c r="H547" s="13" t="str">
        <f t="shared" si="338"/>
        <v>-</v>
      </c>
      <c r="I547" s="13" t="str">
        <f t="shared" si="338"/>
        <v>-</v>
      </c>
      <c r="J547" s="13">
        <f t="shared" si="338"/>
        <v>4.7880823847050426E-2</v>
      </c>
      <c r="K547" s="13">
        <f t="shared" si="338"/>
        <v>4.5431760215214258E-2</v>
      </c>
    </row>
    <row r="548" spans="2:11" x14ac:dyDescent="0.3">
      <c r="B548" s="5" t="str">
        <f t="shared" si="303"/>
        <v>SPS3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0.24379601399588025</v>
      </c>
      <c r="G548" s="13">
        <f t="shared" ref="G548:K548" si="339">IFERROR(G150/SUM(G378,G435),"-")</f>
        <v>0.26317877710132465</v>
      </c>
      <c r="H548" s="13">
        <f t="shared" si="339"/>
        <v>0.25855857039138602</v>
      </c>
      <c r="I548" s="13">
        <f t="shared" si="339"/>
        <v>5.2805206565947476</v>
      </c>
      <c r="J548" s="13">
        <f t="shared" si="339"/>
        <v>0.31042613136049113</v>
      </c>
      <c r="K548" s="13">
        <f t="shared" si="339"/>
        <v>0.31115438183585087</v>
      </c>
    </row>
    <row r="549" spans="2:11" x14ac:dyDescent="0.3">
      <c r="B549" s="5" t="str">
        <f t="shared" si="303"/>
        <v>SPS3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0">IFERROR(G151/G379,"-")</f>
        <v>-</v>
      </c>
      <c r="H549" s="13" t="str">
        <f t="shared" si="340"/>
        <v>-</v>
      </c>
      <c r="I549" s="13" t="str">
        <f t="shared" si="340"/>
        <v>-</v>
      </c>
      <c r="J549" s="13">
        <f t="shared" si="340"/>
        <v>0.14626981344469769</v>
      </c>
      <c r="K549" s="13">
        <f t="shared" si="340"/>
        <v>0.25788073729060323</v>
      </c>
    </row>
    <row r="550" spans="2:11" x14ac:dyDescent="0.3">
      <c r="B550" s="5" t="str">
        <f t="shared" si="303"/>
        <v>SPS3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0.19744083254722097</v>
      </c>
      <c r="G550" s="13">
        <f t="shared" ref="G550:K550" si="341">IFERROR(G152/SUM(G380,G511),"-")</f>
        <v>0.22580609061544424</v>
      </c>
      <c r="H550" s="13">
        <f t="shared" si="341"/>
        <v>0.2531832617390119</v>
      </c>
      <c r="I550" s="13">
        <f t="shared" si="341"/>
        <v>0.33851309710306127</v>
      </c>
      <c r="J550" s="13">
        <f t="shared" si="341"/>
        <v>0.3499424083939881</v>
      </c>
      <c r="K550" s="13">
        <f t="shared" si="341"/>
        <v>0.36695814390112802</v>
      </c>
    </row>
    <row r="551" spans="2:11" x14ac:dyDescent="0.3">
      <c r="B551" s="5" t="str">
        <f t="shared" si="303"/>
        <v>SPS3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2">IFERROR(G153/SUM(G381,G512),"-")</f>
        <v>-</v>
      </c>
      <c r="H551" s="13" t="str">
        <f t="shared" si="342"/>
        <v>-</v>
      </c>
      <c r="I551" s="13" t="str">
        <f t="shared" si="342"/>
        <v>-</v>
      </c>
      <c r="J551" s="13">
        <f t="shared" si="342"/>
        <v>0.33384880180922333</v>
      </c>
      <c r="K551" s="13">
        <f t="shared" si="342"/>
        <v>0.34883461552166933</v>
      </c>
    </row>
    <row r="552" spans="2:11" x14ac:dyDescent="0.3">
      <c r="B552" s="5" t="str">
        <f t="shared" si="303"/>
        <v>SPS3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3">IFERROR(G154/SUM(G382,G513),"-")</f>
        <v>-</v>
      </c>
      <c r="H552" s="13" t="str">
        <f t="shared" si="343"/>
        <v>-</v>
      </c>
      <c r="I552" s="13">
        <f t="shared" si="343"/>
        <v>0.23798200770791456</v>
      </c>
      <c r="J552" s="13">
        <f t="shared" si="343"/>
        <v>0.18131843912005657</v>
      </c>
      <c r="K552" s="13">
        <f t="shared" si="343"/>
        <v>0.24421850851017848</v>
      </c>
    </row>
    <row r="553" spans="2:11" x14ac:dyDescent="0.3">
      <c r="B553" s="5" t="str">
        <f t="shared" si="303"/>
        <v>SPS3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4">IFERROR(G155/SUM(G383,G514),"-")</f>
        <v>-</v>
      </c>
      <c r="H553" s="13" t="str">
        <f t="shared" si="344"/>
        <v>-</v>
      </c>
      <c r="I553" s="13">
        <f t="shared" si="344"/>
        <v>0.25882382802189624</v>
      </c>
      <c r="J553" s="13">
        <f t="shared" si="344"/>
        <v>0.23460312366419317</v>
      </c>
      <c r="K553" s="13">
        <f t="shared" si="344"/>
        <v>0.27661849434022973</v>
      </c>
    </row>
    <row r="554" spans="2:11" x14ac:dyDescent="0.3">
      <c r="B554" s="5" t="str">
        <f t="shared" si="303"/>
        <v>SPS3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45">IFERROR(G156/SUM(G384,G515),"-")</f>
        <v>-</v>
      </c>
      <c r="H554" s="13" t="str">
        <f t="shared" si="345"/>
        <v>-</v>
      </c>
      <c r="I554" s="13">
        <f t="shared" si="345"/>
        <v>0.31206565637400446</v>
      </c>
      <c r="J554" s="13">
        <f t="shared" si="345"/>
        <v>0.2772561858709231</v>
      </c>
      <c r="K554" s="13">
        <f t="shared" si="345"/>
        <v>0.31563545687883221</v>
      </c>
    </row>
    <row r="555" spans="2:11" x14ac:dyDescent="0.3">
      <c r="B555" s="5" t="str">
        <f t="shared" si="303"/>
        <v>SPS3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3">
      <c r="B556" s="5" t="str">
        <f t="shared" si="303"/>
        <v>SPS3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3">
      <c r="B557" s="5" t="str">
        <f t="shared" si="303"/>
        <v>SPS3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3">
      <c r="B558" s="5" t="str">
        <f t="shared" si="303"/>
        <v>SPS3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3">
      <c r="B559" s="5" t="str">
        <f t="shared" si="303"/>
        <v>SPS3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3">
      <c r="B560" s="5" t="str">
        <f t="shared" si="303"/>
        <v>SPS3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3">
      <c r="B561" s="5" t="str">
        <f t="shared" si="303"/>
        <v>SPS3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46">IFERROR(G166/G394,"-")</f>
        <v>-</v>
      </c>
      <c r="H561" s="13" t="str">
        <f t="shared" si="346"/>
        <v>-</v>
      </c>
      <c r="I561" s="13" t="str">
        <f t="shared" si="346"/>
        <v>-</v>
      </c>
      <c r="J561" s="13" t="str">
        <f t="shared" si="346"/>
        <v>-</v>
      </c>
      <c r="K561" s="13" t="str">
        <f t="shared" si="346"/>
        <v>-</v>
      </c>
    </row>
    <row r="562" spans="2:11" x14ac:dyDescent="0.3">
      <c r="B562" s="5" t="str">
        <f t="shared" si="303"/>
        <v>SPS3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47">IFERROR(G168/SUM(G396,G437),"-")</f>
        <v>-</v>
      </c>
      <c r="H562" s="13" t="str">
        <f t="shared" si="347"/>
        <v>-</v>
      </c>
      <c r="I562" s="13" t="str">
        <f t="shared" si="347"/>
        <v>-</v>
      </c>
      <c r="J562" s="13">
        <f t="shared" si="347"/>
        <v>0.42000000000000021</v>
      </c>
      <c r="K562" s="13">
        <f t="shared" si="347"/>
        <v>0.41999999999999971</v>
      </c>
    </row>
    <row r="563" spans="2:11" x14ac:dyDescent="0.3">
      <c r="B563" s="5" t="str">
        <f t="shared" si="303"/>
        <v>SPS3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48">IFERROR(G169/SUM(G397,G517),"-")</f>
        <v>-</v>
      </c>
      <c r="H563" s="13" t="str">
        <f t="shared" si="348"/>
        <v>-</v>
      </c>
      <c r="I563" s="13" t="str">
        <f t="shared" si="348"/>
        <v>-</v>
      </c>
      <c r="J563" s="13">
        <f t="shared" si="348"/>
        <v>0.55000000000000027</v>
      </c>
      <c r="K563" s="13">
        <f t="shared" si="348"/>
        <v>0.59999999999999976</v>
      </c>
    </row>
    <row r="564" spans="2:11" x14ac:dyDescent="0.3">
      <c r="B564" s="5" t="str">
        <f t="shared" ref="B564:B627" si="349">B563</f>
        <v>SPS3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0">IFERROR(G170/SUM(G398,G518),"-")</f>
        <v>-</v>
      </c>
      <c r="H564" s="13" t="str">
        <f t="shared" si="350"/>
        <v>-</v>
      </c>
      <c r="I564" s="13">
        <f t="shared" si="350"/>
        <v>0.47500000000000014</v>
      </c>
      <c r="J564" s="13">
        <f t="shared" si="350"/>
        <v>0.54</v>
      </c>
      <c r="K564" s="13">
        <f t="shared" si="350"/>
        <v>0.57499999999999996</v>
      </c>
    </row>
    <row r="565" spans="2:11" x14ac:dyDescent="0.3">
      <c r="B565" s="5" t="str">
        <f t="shared" si="349"/>
        <v>SPS3</v>
      </c>
      <c r="C565" s="5" t="s">
        <v>7</v>
      </c>
      <c r="D565" t="s">
        <v>286</v>
      </c>
      <c r="E565" s="5" t="s">
        <v>240</v>
      </c>
      <c r="F565" s="13">
        <f t="shared" ref="F565:K571" si="351">IFERROR(F172/F400,"-")</f>
        <v>0.69977076316577391</v>
      </c>
      <c r="G565" s="13">
        <f t="shared" si="351"/>
        <v>0.69969191511137729</v>
      </c>
      <c r="H565" s="13">
        <f t="shared" si="351"/>
        <v>0.69996216645014642</v>
      </c>
      <c r="I565" s="13">
        <f t="shared" si="351"/>
        <v>0.69039365658390184</v>
      </c>
      <c r="J565" s="13">
        <f t="shared" si="351"/>
        <v>0.69959810895407726</v>
      </c>
      <c r="K565" s="13">
        <f t="shared" si="351"/>
        <v>0.69983319558309875</v>
      </c>
    </row>
    <row r="566" spans="2:11" x14ac:dyDescent="0.3">
      <c r="B566" s="5" t="str">
        <f t="shared" si="349"/>
        <v>SPS3</v>
      </c>
      <c r="C566" s="5" t="s">
        <v>7</v>
      </c>
      <c r="D566" t="s">
        <v>287</v>
      </c>
      <c r="E566" s="5" t="s">
        <v>240</v>
      </c>
      <c r="F566" s="13">
        <f t="shared" si="351"/>
        <v>0.86598284864197383</v>
      </c>
      <c r="G566" s="13">
        <f t="shared" si="351"/>
        <v>0.86621061040972436</v>
      </c>
      <c r="H566" s="13">
        <f t="shared" si="351"/>
        <v>0.86693878897349341</v>
      </c>
      <c r="I566" s="13">
        <f t="shared" si="351"/>
        <v>0.86583448765811089</v>
      </c>
      <c r="J566" s="13">
        <f t="shared" si="351"/>
        <v>0.86693870381997251</v>
      </c>
      <c r="K566" s="13">
        <f t="shared" si="351"/>
        <v>0.86703420123743868</v>
      </c>
    </row>
    <row r="567" spans="2:11" x14ac:dyDescent="0.3">
      <c r="B567" s="5" t="str">
        <f t="shared" si="349"/>
        <v>SPS3</v>
      </c>
      <c r="C567" s="5" t="s">
        <v>7</v>
      </c>
      <c r="D567" t="s">
        <v>288</v>
      </c>
      <c r="E567" s="5" t="s">
        <v>240</v>
      </c>
      <c r="F567" s="13">
        <f t="shared" si="351"/>
        <v>0.89420350699035311</v>
      </c>
      <c r="G567" s="13">
        <f t="shared" si="351"/>
        <v>0.89425368005156403</v>
      </c>
      <c r="H567" s="13">
        <f t="shared" si="351"/>
        <v>0.8941723946901845</v>
      </c>
      <c r="I567" s="13">
        <f t="shared" si="351"/>
        <v>0.89345698884215519</v>
      </c>
      <c r="J567" s="13">
        <f t="shared" si="351"/>
        <v>0.89425331287287657</v>
      </c>
      <c r="K567" s="13">
        <f t="shared" si="351"/>
        <v>0.89426030629804776</v>
      </c>
    </row>
    <row r="568" spans="2:11" x14ac:dyDescent="0.3">
      <c r="B568" s="5" t="str">
        <f t="shared" si="349"/>
        <v>SPS3</v>
      </c>
      <c r="C568" s="5" t="s">
        <v>7</v>
      </c>
      <c r="D568" t="s">
        <v>289</v>
      </c>
      <c r="E568" s="5" t="s">
        <v>240</v>
      </c>
      <c r="F568" s="13">
        <f t="shared" si="351"/>
        <v>0.90285373954598158</v>
      </c>
      <c r="G568" s="13">
        <f t="shared" si="351"/>
        <v>0.90291716420672841</v>
      </c>
      <c r="H568" s="13">
        <f t="shared" si="351"/>
        <v>0.90405601109400646</v>
      </c>
      <c r="I568" s="13">
        <f t="shared" si="351"/>
        <v>0.90396533218120567</v>
      </c>
      <c r="J568" s="13">
        <f t="shared" si="351"/>
        <v>0.90424230441663977</v>
      </c>
      <c r="K568" s="13">
        <f t="shared" si="351"/>
        <v>0.90425706591194999</v>
      </c>
    </row>
    <row r="569" spans="2:11" x14ac:dyDescent="0.3">
      <c r="B569" s="5" t="str">
        <f t="shared" si="349"/>
        <v>SPS3</v>
      </c>
      <c r="C569" s="5" t="s">
        <v>7</v>
      </c>
      <c r="D569" t="s">
        <v>1855</v>
      </c>
      <c r="E569" s="5" t="s">
        <v>240</v>
      </c>
      <c r="F569" s="13">
        <f t="shared" si="351"/>
        <v>0.90285006971756265</v>
      </c>
      <c r="G569" s="13">
        <f t="shared" si="351"/>
        <v>0.90291911912388145</v>
      </c>
      <c r="H569" s="13">
        <f t="shared" si="351"/>
        <v>0.90405578159477051</v>
      </c>
      <c r="I569" s="13">
        <f t="shared" si="351"/>
        <v>0.90378331831125325</v>
      </c>
      <c r="J569" s="13">
        <f t="shared" si="351"/>
        <v>0.90422825350673219</v>
      </c>
      <c r="K569" s="13">
        <f t="shared" si="351"/>
        <v>0.90424374497234772</v>
      </c>
    </row>
    <row r="570" spans="2:11" x14ac:dyDescent="0.3">
      <c r="B570" s="5" t="str">
        <f t="shared" si="349"/>
        <v>SPS3</v>
      </c>
      <c r="C570" s="5" t="s">
        <v>7</v>
      </c>
      <c r="D570" t="s">
        <v>290</v>
      </c>
      <c r="E570" s="5" t="s">
        <v>240</v>
      </c>
      <c r="F570" s="13">
        <f t="shared" si="351"/>
        <v>0.9028498175440236</v>
      </c>
      <c r="G570" s="13">
        <f t="shared" si="351"/>
        <v>0.90291886395665932</v>
      </c>
      <c r="H570" s="13">
        <f t="shared" si="351"/>
        <v>0.90405573331712019</v>
      </c>
      <c r="I570" s="13">
        <f t="shared" si="351"/>
        <v>0.90378277545069563</v>
      </c>
      <c r="J570" s="13">
        <f t="shared" si="351"/>
        <v>0.9042288100678666</v>
      </c>
      <c r="K570" s="13">
        <f t="shared" si="351"/>
        <v>0.90424375612061503</v>
      </c>
    </row>
    <row r="571" spans="2:11" x14ac:dyDescent="0.3">
      <c r="B571" s="5" t="str">
        <f t="shared" si="349"/>
        <v>SPS3</v>
      </c>
      <c r="C571" s="5" t="s">
        <v>7</v>
      </c>
      <c r="D571" t="s">
        <v>291</v>
      </c>
      <c r="E571" s="5" t="s">
        <v>240</v>
      </c>
      <c r="F571" s="13">
        <f t="shared" si="351"/>
        <v>0.90285821532972554</v>
      </c>
      <c r="G571" s="13">
        <f t="shared" si="351"/>
        <v>0.90292575956149423</v>
      </c>
      <c r="H571" s="13">
        <f t="shared" si="351"/>
        <v>0.90383225111595522</v>
      </c>
      <c r="I571" s="13">
        <f t="shared" si="351"/>
        <v>0.90353592348650513</v>
      </c>
      <c r="J571" s="13">
        <f t="shared" si="351"/>
        <v>0.90424126095552981</v>
      </c>
      <c r="K571" s="13">
        <f t="shared" si="351"/>
        <v>0.9042491115790392</v>
      </c>
    </row>
    <row r="572" spans="2:11" x14ac:dyDescent="0.3">
      <c r="B572" s="9" t="str">
        <f t="shared" si="349"/>
        <v>SPS3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3">
      <c r="B573" s="5" t="str">
        <f t="shared" si="349"/>
        <v>SPS3</v>
      </c>
      <c r="C573" s="5" t="s">
        <v>7</v>
      </c>
      <c r="D573" t="s">
        <v>297</v>
      </c>
      <c r="E573" s="5" t="s">
        <v>240</v>
      </c>
      <c r="F573" s="4">
        <f>IFERROR(F210/F440,"-")</f>
        <v>0.59933917961594452</v>
      </c>
      <c r="G573" s="4">
        <f t="shared" ref="G573:K573" si="352">IFERROR(G210/G440,"-")</f>
        <v>0.44499572649641006</v>
      </c>
      <c r="H573" s="4">
        <f t="shared" si="352"/>
        <v>0.44351175209945415</v>
      </c>
      <c r="I573" s="4">
        <f t="shared" si="352"/>
        <v>0.42584920062703019</v>
      </c>
      <c r="J573" s="4">
        <f t="shared" si="352"/>
        <v>0.38270351403504604</v>
      </c>
      <c r="K573" s="4">
        <f t="shared" si="352"/>
        <v>0.38092190687732252</v>
      </c>
    </row>
    <row r="574" spans="2:11" x14ac:dyDescent="0.3">
      <c r="B574" s="5" t="str">
        <f t="shared" si="349"/>
        <v>SPS3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3">IFERROR(G216/G446,"-")</f>
        <v>1</v>
      </c>
      <c r="H574" s="4">
        <f t="shared" si="353"/>
        <v>1</v>
      </c>
      <c r="I574" s="4">
        <f t="shared" si="353"/>
        <v>1</v>
      </c>
      <c r="J574" s="4" t="str">
        <f t="shared" si="353"/>
        <v>-</v>
      </c>
      <c r="K574" s="4" t="str">
        <f t="shared" si="353"/>
        <v>-</v>
      </c>
    </row>
    <row r="575" spans="2:11" x14ac:dyDescent="0.3">
      <c r="B575" s="5" t="str">
        <f t="shared" si="349"/>
        <v>SPS3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0.85445501111132482</v>
      </c>
      <c r="G575" s="4">
        <f t="shared" ref="G575:K575" si="354">IFERROR(G218/G448,"-")</f>
        <v>0.8544550111113246</v>
      </c>
      <c r="H575" s="4">
        <f t="shared" si="354"/>
        <v>0.85445501111132438</v>
      </c>
      <c r="I575" s="4">
        <f t="shared" si="354"/>
        <v>0.85445501111132383</v>
      </c>
      <c r="J575" s="4">
        <f t="shared" si="354"/>
        <v>0.85445501111132482</v>
      </c>
      <c r="K575" s="4">
        <f t="shared" si="354"/>
        <v>0.8544550111113246</v>
      </c>
    </row>
    <row r="576" spans="2:11" x14ac:dyDescent="0.3">
      <c r="B576" s="5" t="str">
        <f t="shared" si="349"/>
        <v>SPS3</v>
      </c>
      <c r="C576" s="5" t="s">
        <v>7</v>
      </c>
      <c r="D576" t="s">
        <v>300</v>
      </c>
      <c r="E576" s="5" t="s">
        <v>240</v>
      </c>
      <c r="F576" s="4">
        <f>IFERROR(F224/F454,"-")</f>
        <v>0.69999999999999962</v>
      </c>
      <c r="G576" s="4">
        <f t="shared" ref="G576:K576" si="355">IFERROR(G224/G454,"-")</f>
        <v>0.70000000000000018</v>
      </c>
      <c r="H576" s="4">
        <f t="shared" si="355"/>
        <v>0.69999999999999984</v>
      </c>
      <c r="I576" s="4">
        <f t="shared" si="355"/>
        <v>0.70000000000000007</v>
      </c>
      <c r="J576" s="4">
        <f t="shared" si="355"/>
        <v>0.69999999999999973</v>
      </c>
      <c r="K576" s="4">
        <f t="shared" si="355"/>
        <v>0.69999999999999951</v>
      </c>
    </row>
    <row r="577" spans="2:11" x14ac:dyDescent="0.3">
      <c r="B577" s="5" t="str">
        <f t="shared" si="349"/>
        <v>SPS3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56">IFERROR(G226/G456,"-")</f>
        <v>-</v>
      </c>
      <c r="H577" t="str">
        <f t="shared" si="356"/>
        <v>-</v>
      </c>
      <c r="I577" t="str">
        <f t="shared" si="356"/>
        <v>-</v>
      </c>
      <c r="J577" t="str">
        <f t="shared" si="356"/>
        <v>-</v>
      </c>
      <c r="K577" t="str">
        <f t="shared" si="356"/>
        <v>-</v>
      </c>
    </row>
    <row r="578" spans="2:11" x14ac:dyDescent="0.3">
      <c r="B578" s="5" t="str">
        <f t="shared" si="349"/>
        <v>SPS3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57">IFERROR(G228/G458,"-")</f>
        <v>-</v>
      </c>
      <c r="H578" t="str">
        <f t="shared" si="357"/>
        <v>-</v>
      </c>
      <c r="I578" t="str">
        <f t="shared" si="357"/>
        <v>-</v>
      </c>
      <c r="J578">
        <f t="shared" si="357"/>
        <v>0.8499999999999992</v>
      </c>
      <c r="K578">
        <f t="shared" si="357"/>
        <v>0.85000000000000031</v>
      </c>
    </row>
    <row r="579" spans="2:11" x14ac:dyDescent="0.3">
      <c r="B579" s="5" t="str">
        <f t="shared" si="349"/>
        <v>SPS3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58">IFERROR(G230/G460,"-")</f>
        <v>2.8999999999999995</v>
      </c>
      <c r="H579" s="4">
        <f t="shared" si="358"/>
        <v>2.9000000000000048</v>
      </c>
      <c r="I579" s="4">
        <f t="shared" si="358"/>
        <v>2.9000000000000026</v>
      </c>
      <c r="J579" s="4">
        <f t="shared" si="358"/>
        <v>2.9</v>
      </c>
      <c r="K579" s="4">
        <f t="shared" si="358"/>
        <v>2.9000000000000026</v>
      </c>
    </row>
    <row r="580" spans="2:11" x14ac:dyDescent="0.3">
      <c r="B580" s="9" t="str">
        <f t="shared" si="349"/>
        <v>SPS3</v>
      </c>
      <c r="C580" s="9" t="s">
        <v>7</v>
      </c>
      <c r="D580" s="2" t="s">
        <v>303</v>
      </c>
      <c r="E580" s="9" t="s">
        <v>8</v>
      </c>
      <c r="F580" s="3">
        <f>[1]Other_transformation!B$5</f>
        <v>0.54566383220082548</v>
      </c>
      <c r="G580" s="3">
        <f>[1]Other_transformation!C$5</f>
        <v>0.66260468448084975</v>
      </c>
      <c r="H580" s="3">
        <f>[1]Other_transformation!D$5</f>
        <v>7.938773906589075E-2</v>
      </c>
      <c r="I580" s="3">
        <f>[1]Other_transformation!E$5</f>
        <v>2.8191978621085137E-5</v>
      </c>
      <c r="J580" s="3">
        <f>[1]Other_transformation!F$5</f>
        <v>2.8080393176744129</v>
      </c>
      <c r="K580" s="3">
        <f>[1]Other_transformation!G$5</f>
        <v>2.2828770250326849</v>
      </c>
    </row>
    <row r="581" spans="2:11" x14ac:dyDescent="0.3">
      <c r="B581" s="5" t="str">
        <f t="shared" si="349"/>
        <v>SPS3</v>
      </c>
      <c r="C581" s="5" t="s">
        <v>7</v>
      </c>
      <c r="D581" t="s">
        <v>903</v>
      </c>
      <c r="E581" s="5" t="s">
        <v>8</v>
      </c>
      <c r="F581" s="1">
        <f>F580</f>
        <v>0.54566383220082548</v>
      </c>
      <c r="G581" s="1">
        <f t="shared" ref="G581:K581" si="359">G580</f>
        <v>0.66260468448084975</v>
      </c>
      <c r="H581" s="1">
        <f t="shared" si="359"/>
        <v>7.938773906589075E-2</v>
      </c>
      <c r="I581" s="1">
        <f t="shared" si="359"/>
        <v>2.8191978621085137E-5</v>
      </c>
      <c r="J581" s="1">
        <f t="shared" si="359"/>
        <v>2.8080393176744129</v>
      </c>
      <c r="K581" s="1">
        <f t="shared" si="359"/>
        <v>2.2828770250326849</v>
      </c>
    </row>
    <row r="582" spans="2:11" x14ac:dyDescent="0.3">
      <c r="B582" s="5" t="str">
        <f t="shared" si="349"/>
        <v>SPS3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0.54566383220082548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0.66260468448084975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7.938773906589075E-2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2.8191978621085137E-5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2.8066722866357883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4.7067139217075071E-4</v>
      </c>
    </row>
    <row r="583" spans="2:11" x14ac:dyDescent="0.3">
      <c r="B583" s="5" t="str">
        <f t="shared" si="349"/>
        <v>SPS3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1.3670310386248361E-3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2.2824063536405141</v>
      </c>
    </row>
    <row r="584" spans="2:11" x14ac:dyDescent="0.3">
      <c r="B584" s="9" t="str">
        <f t="shared" si="349"/>
        <v>SPS3</v>
      </c>
      <c r="C584" s="9" t="s">
        <v>7</v>
      </c>
      <c r="D584" s="2" t="s">
        <v>370</v>
      </c>
      <c r="E584" s="9" t="s">
        <v>8</v>
      </c>
      <c r="F584" s="3">
        <f>F585</f>
        <v>0.21280889455832169</v>
      </c>
      <c r="G584" s="3">
        <f t="shared" ref="G584:K584" si="360">G585</f>
        <v>0.2584158269475309</v>
      </c>
      <c r="H584" s="3">
        <f t="shared" si="360"/>
        <v>3.0961218235697339E-2</v>
      </c>
      <c r="I584" s="3">
        <f t="shared" si="360"/>
        <v>1.0994871662223193E-5</v>
      </c>
      <c r="J584" s="3">
        <f t="shared" si="360"/>
        <v>1.0951353338930188</v>
      </c>
      <c r="K584" s="3">
        <f t="shared" si="360"/>
        <v>0.8903220397627466</v>
      </c>
    </row>
    <row r="585" spans="2:11" x14ac:dyDescent="0.3">
      <c r="B585" s="5" t="str">
        <f t="shared" si="349"/>
        <v>SPS3</v>
      </c>
      <c r="C585" s="5" t="s">
        <v>7</v>
      </c>
      <c r="D585" t="s">
        <v>904</v>
      </c>
      <c r="E585" s="5" t="s">
        <v>8</v>
      </c>
      <c r="F585" s="1">
        <f>SUM(F586:F587)</f>
        <v>0.21280889455832169</v>
      </c>
      <c r="G585" s="1">
        <f t="shared" ref="G585:K585" si="361">SUM(G586:G587)</f>
        <v>0.2584158269475309</v>
      </c>
      <c r="H585" s="1">
        <f t="shared" si="361"/>
        <v>3.0961218235697339E-2</v>
      </c>
      <c r="I585" s="1">
        <f t="shared" si="361"/>
        <v>1.0994871662223193E-5</v>
      </c>
      <c r="J585" s="1">
        <f t="shared" si="361"/>
        <v>1.0951353338930188</v>
      </c>
      <c r="K585" s="1">
        <f t="shared" si="361"/>
        <v>0.8903220397627466</v>
      </c>
    </row>
    <row r="586" spans="2:11" x14ac:dyDescent="0.3">
      <c r="B586" s="5" t="str">
        <f t="shared" si="349"/>
        <v>SPS3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0.21280889455832169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0.2584158269475309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3.0961218235697339E-2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1.0994871662223193E-5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1.0946021917879551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1.8356184294659252E-4</v>
      </c>
    </row>
    <row r="587" spans="2:11" x14ac:dyDescent="0.3">
      <c r="B587" s="5" t="str">
        <f t="shared" si="349"/>
        <v>SPS3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5.331421050636853E-4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0.89013847791980005</v>
      </c>
    </row>
    <row r="588" spans="2:11" x14ac:dyDescent="0.3">
      <c r="B588" s="9" t="str">
        <f t="shared" si="349"/>
        <v>SPS3</v>
      </c>
      <c r="C588" s="9" t="s">
        <v>7</v>
      </c>
      <c r="D588" s="2" t="s">
        <v>373</v>
      </c>
      <c r="E588" s="9" t="s">
        <v>8</v>
      </c>
      <c r="F588" s="3">
        <f>F589+F592</f>
        <v>1.5927927261942099</v>
      </c>
      <c r="G588" s="3">
        <f t="shared" ref="G588:K588" si="362">G589+G592</f>
        <v>1.9341430739995982</v>
      </c>
      <c r="H588" s="3">
        <f t="shared" si="362"/>
        <v>0.23173281033333498</v>
      </c>
      <c r="I588" s="3">
        <f t="shared" si="362"/>
        <v>8.2292385594947523E-5</v>
      </c>
      <c r="J588" s="3">
        <f t="shared" si="362"/>
        <v>8.1967482042834696</v>
      </c>
      <c r="K588" s="3">
        <f t="shared" si="362"/>
        <v>6.799684243137281</v>
      </c>
    </row>
    <row r="589" spans="2:11" x14ac:dyDescent="0.3">
      <c r="B589" s="5" t="str">
        <f t="shared" si="349"/>
        <v>SPS3</v>
      </c>
      <c r="C589" s="5" t="s">
        <v>7</v>
      </c>
      <c r="D589" t="s">
        <v>905</v>
      </c>
      <c r="E589" s="5" t="s">
        <v>8</v>
      </c>
      <c r="F589" s="1">
        <f>SUM(F590:F591)</f>
        <v>1.5548690898562525</v>
      </c>
      <c r="G589" s="1">
        <f t="shared" ref="G589:K589" si="363">SUM(G590:G591)</f>
        <v>1.8880920484281791</v>
      </c>
      <c r="H589" s="1">
        <f t="shared" si="363"/>
        <v>0.22621536246825558</v>
      </c>
      <c r="I589" s="1">
        <f t="shared" si="363"/>
        <v>8.0333043080782111E-5</v>
      </c>
      <c r="J589" s="1">
        <f t="shared" si="363"/>
        <v>8.0015080357132256</v>
      </c>
      <c r="K589" s="1">
        <f t="shared" si="363"/>
        <v>6.5050580828306384</v>
      </c>
    </row>
    <row r="590" spans="2:11" x14ac:dyDescent="0.3">
      <c r="B590" s="5" t="str">
        <f t="shared" si="349"/>
        <v>SPS3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1.5548690898562525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1.8880920484281791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0.22621536246825558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8.0333043080782111E-5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7.9976126807686647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1.3411781319905545E-3</v>
      </c>
    </row>
    <row r="591" spans="2:11" x14ac:dyDescent="0.3">
      <c r="B591" s="5" t="str">
        <f t="shared" si="349"/>
        <v>SPS3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3.8953549445614665E-3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6.5037169046986474</v>
      </c>
    </row>
    <row r="592" spans="2:11" x14ac:dyDescent="0.3">
      <c r="B592" s="5" t="str">
        <f t="shared" si="349"/>
        <v>SPS3</v>
      </c>
      <c r="C592" s="5" t="s">
        <v>7</v>
      </c>
      <c r="D592" t="s">
        <v>906</v>
      </c>
      <c r="E592" s="5" t="s">
        <v>8</v>
      </c>
      <c r="F592" s="1">
        <f>SUM(F593:F594)</f>
        <v>3.792363633795736E-2</v>
      </c>
      <c r="G592" s="1">
        <f t="shared" ref="G592:K592" si="364">SUM(G593:G594)</f>
        <v>4.6051025571419026E-2</v>
      </c>
      <c r="H592" s="1">
        <f t="shared" si="364"/>
        <v>5.5174478650793996E-3</v>
      </c>
      <c r="I592" s="1">
        <f t="shared" si="364"/>
        <v>1.9593425141654174E-6</v>
      </c>
      <c r="J592" s="1">
        <f t="shared" si="364"/>
        <v>0.19524016857024379</v>
      </c>
      <c r="K592" s="1">
        <f t="shared" si="364"/>
        <v>0.29462616030664268</v>
      </c>
    </row>
    <row r="593" spans="2:11" x14ac:dyDescent="0.3">
      <c r="B593" s="5" t="str">
        <f t="shared" si="349"/>
        <v>SPS3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3.792363633795736E-2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4.6051025571419026E-2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5.5174478650793996E-3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1.9593425141654174E-6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0.19506372392118701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3.2711661755867198E-5</v>
      </c>
    </row>
    <row r="594" spans="2:11" x14ac:dyDescent="0.3">
      <c r="B594" s="5" t="str">
        <f t="shared" si="349"/>
        <v>SPS3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1.7644464905679132E-4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0.29459344864488679</v>
      </c>
    </row>
    <row r="595" spans="2:11" x14ac:dyDescent="0.3">
      <c r="B595" s="9" t="str">
        <f t="shared" si="349"/>
        <v>SPS3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3">
      <c r="B596" s="5" t="str">
        <f t="shared" si="349"/>
        <v>SPS3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0.47619047619047594</v>
      </c>
      <c r="G596" s="4">
        <f t="shared" ref="G596:K597" si="365">IFERROR(SUM(G582,G586)/SUM(G590,G593),"-")</f>
        <v>0.4761904761904765</v>
      </c>
      <c r="H596" s="4">
        <f t="shared" si="365"/>
        <v>0.47619047619047616</v>
      </c>
      <c r="I596" s="4">
        <f t="shared" si="365"/>
        <v>0.476190476190476</v>
      </c>
      <c r="J596" s="4">
        <f t="shared" si="365"/>
        <v>0.47619047619047672</v>
      </c>
      <c r="K596" s="4">
        <f t="shared" si="365"/>
        <v>0.47619047619047589</v>
      </c>
    </row>
    <row r="597" spans="2:11" x14ac:dyDescent="0.3">
      <c r="B597" s="5" t="str">
        <f t="shared" si="349"/>
        <v>SPS3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5"/>
        <v>-</v>
      </c>
      <c r="H597" s="4" t="str">
        <f t="shared" si="365"/>
        <v>-</v>
      </c>
      <c r="I597" s="4" t="str">
        <f t="shared" si="365"/>
        <v>-</v>
      </c>
      <c r="J597" s="4">
        <f t="shared" si="365"/>
        <v>0.4666666666666669</v>
      </c>
      <c r="K597" s="4">
        <f t="shared" si="365"/>
        <v>0.46666666666666645</v>
      </c>
    </row>
    <row r="598" spans="2:11" x14ac:dyDescent="0.3">
      <c r="B598" s="9" t="str">
        <f t="shared" si="349"/>
        <v>SPS3</v>
      </c>
      <c r="C598" s="9" t="s">
        <v>7</v>
      </c>
      <c r="D598" s="2" t="s">
        <v>376</v>
      </c>
      <c r="E598" s="9" t="s">
        <v>8</v>
      </c>
      <c r="F598" s="1">
        <f>[1]Other_transformation!B$12</f>
        <v>0.11942874163274815</v>
      </c>
      <c r="G598" s="1">
        <f>[1]Other_transformation!C$12</f>
        <v>2.6545894331755789E-3</v>
      </c>
      <c r="H598" s="1">
        <f>[1]Other_transformation!D$12</f>
        <v>1.2449589193226129</v>
      </c>
      <c r="I598" s="1">
        <f>[1]Other_transformation!E$12</f>
        <v>3.5664195776893104</v>
      </c>
      <c r="J598" s="1">
        <f>[1]Other_transformation!F$12</f>
        <v>5.9326181715064542E-4</v>
      </c>
      <c r="K598" s="1">
        <f>[1]Other_transformation!G$12</f>
        <v>4.3511930074472061E-4</v>
      </c>
    </row>
    <row r="599" spans="2:11" x14ac:dyDescent="0.3">
      <c r="B599" s="5" t="str">
        <f t="shared" si="349"/>
        <v>SPS3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0.11942874163274815</v>
      </c>
      <c r="G599" s="1">
        <f t="shared" ref="G599:K599" si="366">SUM(G600:G601)</f>
        <v>2.6545894331755789E-3</v>
      </c>
      <c r="H599" s="1">
        <f t="shared" si="366"/>
        <v>1.2449589193226129</v>
      </c>
      <c r="I599" s="1">
        <f t="shared" si="366"/>
        <v>3.5664195776893104</v>
      </c>
      <c r="J599" s="1">
        <f t="shared" si="366"/>
        <v>5.9326181715064542E-4</v>
      </c>
      <c r="K599" s="1">
        <f t="shared" si="366"/>
        <v>4.3511930074472061E-4</v>
      </c>
    </row>
    <row r="600" spans="2:11" x14ac:dyDescent="0.3">
      <c r="B600" s="5" t="str">
        <f t="shared" si="349"/>
        <v>SPS3</v>
      </c>
      <c r="C600" s="5" t="s">
        <v>7</v>
      </c>
      <c r="D600" t="s">
        <v>2166</v>
      </c>
      <c r="E600" t="str">
        <f t="shared" ref="E600:E601" si="367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0.11942874163274815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2.6545894331755789E-3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1.2449589193226129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3.5664195776893104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3.5399507635342826E-4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2.1845660272960923E-4</v>
      </c>
    </row>
    <row r="601" spans="2:11" x14ac:dyDescent="0.3">
      <c r="B601" s="5" t="str">
        <f t="shared" si="349"/>
        <v>SPS3</v>
      </c>
      <c r="C601" s="5" t="s">
        <v>7</v>
      </c>
      <c r="D601" t="s">
        <v>2167</v>
      </c>
      <c r="E601" t="str">
        <f t="shared" si="367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2.3926674079721716E-4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2.1666269801511138E-4</v>
      </c>
    </row>
    <row r="602" spans="2:11" x14ac:dyDescent="0.3">
      <c r="B602" s="9" t="str">
        <f t="shared" si="349"/>
        <v>SPS3</v>
      </c>
      <c r="C602" s="9" t="s">
        <v>7</v>
      </c>
      <c r="D602" s="2" t="s">
        <v>378</v>
      </c>
      <c r="E602" s="9" t="s">
        <v>8</v>
      </c>
      <c r="F602" s="3">
        <f>F603+F606</f>
        <v>0.44546920629015108</v>
      </c>
      <c r="G602" s="3">
        <f t="shared" ref="G602:K602" si="368">G603+G606</f>
        <v>9.9016185857449084E-3</v>
      </c>
      <c r="H602" s="3">
        <f t="shared" si="368"/>
        <v>4.6436967690733457</v>
      </c>
      <c r="I602" s="3">
        <f t="shared" si="368"/>
        <v>13.302745024781132</v>
      </c>
      <c r="J602" s="3">
        <f t="shared" si="368"/>
        <v>2.322929278738626E-3</v>
      </c>
      <c r="K602" s="3">
        <f t="shared" si="368"/>
        <v>1.722659832864759E-3</v>
      </c>
    </row>
    <row r="603" spans="2:11" x14ac:dyDescent="0.3">
      <c r="B603" s="5" t="str">
        <f t="shared" si="349"/>
        <v>SPS3</v>
      </c>
      <c r="C603" s="5" t="s">
        <v>7</v>
      </c>
      <c r="D603" t="s">
        <v>907</v>
      </c>
      <c r="E603" s="5" t="s">
        <v>8</v>
      </c>
      <c r="F603" s="1">
        <f>SUM(F604:F605)</f>
        <v>0.24960607001244386</v>
      </c>
      <c r="G603" s="1">
        <f t="shared" ref="G603:K603" si="369">SUM(G604:G605)</f>
        <v>5.5480919153369579E-3</v>
      </c>
      <c r="H603" s="1">
        <f t="shared" si="369"/>
        <v>2.60196414138426</v>
      </c>
      <c r="I603" s="1">
        <f t="shared" si="369"/>
        <v>7.453816917370661</v>
      </c>
      <c r="J603" s="1">
        <f t="shared" si="369"/>
        <v>1.2399171978448482E-3</v>
      </c>
      <c r="K603" s="1">
        <f t="shared" si="369"/>
        <v>9.0939933855646593E-4</v>
      </c>
    </row>
    <row r="604" spans="2:11" x14ac:dyDescent="0.3">
      <c r="B604" s="5" t="str">
        <f t="shared" si="349"/>
        <v>SPS3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0.24960607001244386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5.5480919153369579E-3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2.60196414138426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7.453816917370661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7.398497095786647E-4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4.5657429970488315E-4</v>
      </c>
    </row>
    <row r="605" spans="2:11" x14ac:dyDescent="0.3">
      <c r="B605" s="5" t="str">
        <f t="shared" si="349"/>
        <v>SPS3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5.0006748826618354E-4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4.5282503885158277E-4</v>
      </c>
    </row>
    <row r="606" spans="2:11" x14ac:dyDescent="0.3">
      <c r="B606" s="5" t="str">
        <f t="shared" si="349"/>
        <v>SPS3</v>
      </c>
      <c r="C606" s="5" t="s">
        <v>7</v>
      </c>
      <c r="D606" t="s">
        <v>908</v>
      </c>
      <c r="E606" s="5" t="s">
        <v>8</v>
      </c>
      <c r="F606" s="1">
        <f>SUM(F607:F608)</f>
        <v>0.19586313627770721</v>
      </c>
      <c r="G606" s="1">
        <f t="shared" ref="G606:K606" si="370">SUM(G607:G608)</f>
        <v>4.3535266704079496E-3</v>
      </c>
      <c r="H606" s="1">
        <f t="shared" si="370"/>
        <v>2.0417326276890861</v>
      </c>
      <c r="I606" s="1">
        <f t="shared" si="370"/>
        <v>5.8489281074104715</v>
      </c>
      <c r="J606" s="1">
        <f t="shared" si="370"/>
        <v>1.0830120808937777E-3</v>
      </c>
      <c r="K606" s="1">
        <f t="shared" si="370"/>
        <v>8.1326049430829309E-4</v>
      </c>
    </row>
    <row r="607" spans="2:11" x14ac:dyDescent="0.3">
      <c r="B607" s="5" t="str">
        <f t="shared" si="349"/>
        <v>SPS3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0.19586313627770721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4.3535266704079496E-3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2.0417326276890861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5.8489281074104715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5.8055192521962228E-4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3.5826882847655886E-4</v>
      </c>
    </row>
    <row r="608" spans="2:11" x14ac:dyDescent="0.3">
      <c r="B608" s="5" t="str">
        <f t="shared" si="349"/>
        <v>SPS3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5.0246015567415546E-4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4.5499166583173422E-4</v>
      </c>
    </row>
    <row r="609" spans="2:11" x14ac:dyDescent="0.3">
      <c r="B609" s="9" t="str">
        <f t="shared" si="349"/>
        <v>SPS3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3">
      <c r="B610" s="5" t="str">
        <f t="shared" si="349"/>
        <v>SPS3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0.26809651474530805</v>
      </c>
      <c r="G610">
        <f t="shared" ref="G610:K611" si="371">IFERROR(G600/SUM(G604,G607),"-")</f>
        <v>0.26809651474530832</v>
      </c>
      <c r="H610">
        <f t="shared" si="371"/>
        <v>0.26809651474530832</v>
      </c>
      <c r="I610">
        <f t="shared" si="371"/>
        <v>0.26809651474530821</v>
      </c>
      <c r="J610">
        <f t="shared" si="371"/>
        <v>0.26809651474530838</v>
      </c>
      <c r="K610">
        <f t="shared" si="371"/>
        <v>0.26809651474530843</v>
      </c>
    </row>
    <row r="611" spans="2:11" x14ac:dyDescent="0.3">
      <c r="B611" s="5" t="str">
        <f t="shared" si="349"/>
        <v>SPS3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1"/>
        <v>-</v>
      </c>
      <c r="H611" t="str">
        <f t="shared" si="371"/>
        <v>-</v>
      </c>
      <c r="I611" t="str">
        <f t="shared" si="371"/>
        <v>-</v>
      </c>
      <c r="J611">
        <f t="shared" si="371"/>
        <v>0.23866348448687372</v>
      </c>
      <c r="K611">
        <f t="shared" si="371"/>
        <v>0.23866348448687341</v>
      </c>
    </row>
    <row r="612" spans="2:11" x14ac:dyDescent="0.3">
      <c r="B612" s="5" t="str">
        <f t="shared" si="349"/>
        <v>SPS3</v>
      </c>
      <c r="C612" s="5" t="s">
        <v>7</v>
      </c>
      <c r="D612" s="2" t="s">
        <v>381</v>
      </c>
      <c r="E612" s="9" t="s">
        <v>8</v>
      </c>
      <c r="F612" s="3">
        <f>F613+F614+F619</f>
        <v>6.9574259223993327</v>
      </c>
      <c r="G612" s="3">
        <f t="shared" ref="G612" si="372">G613+G614+G619</f>
        <v>10.158589968363426</v>
      </c>
      <c r="H612" s="3">
        <f t="shared" ref="H612" si="373">H613+H614+H619</f>
        <v>9.8190055045400957</v>
      </c>
      <c r="I612" s="3">
        <f t="shared" ref="I612" si="374">I613+I614+I619</f>
        <v>11.964228409841359</v>
      </c>
      <c r="J612" s="3">
        <f t="shared" ref="J612" si="375">J613+J614+J619</f>
        <v>13.460410124084765</v>
      </c>
      <c r="K612" s="3">
        <f t="shared" ref="K612" si="376">K613+K614+K619</f>
        <v>19.951466282943695</v>
      </c>
    </row>
    <row r="613" spans="2:11" x14ac:dyDescent="0.3">
      <c r="B613" s="5" t="str">
        <f t="shared" si="349"/>
        <v>SPS3</v>
      </c>
      <c r="C613" s="5" t="s">
        <v>7</v>
      </c>
      <c r="D613" t="s">
        <v>314</v>
      </c>
      <c r="E613" s="5" t="s">
        <v>8</v>
      </c>
      <c r="F613" s="1">
        <f>[1]Other_transformation!B$19</f>
        <v>1.3280112949650908</v>
      </c>
      <c r="G613" s="1">
        <f>[1]Other_transformation!C$19</f>
        <v>4.3847374340687209</v>
      </c>
      <c r="H613" s="1">
        <f>[1]Other_transformation!D$19</f>
        <v>4.3847558437871497</v>
      </c>
      <c r="I613" s="1">
        <f>[1]Other_transformation!E$19</f>
        <v>4.384770662238024</v>
      </c>
      <c r="J613" s="1">
        <f>[1]Other_transformation!F$19</f>
        <v>5.1311417059496005</v>
      </c>
      <c r="K613" s="1">
        <f>[1]Other_transformation!G$19</f>
        <v>9.4405471546661346</v>
      </c>
    </row>
    <row r="614" spans="2:11" x14ac:dyDescent="0.3">
      <c r="B614" s="5" t="str">
        <f t="shared" si="349"/>
        <v>SPS3</v>
      </c>
      <c r="C614" s="5" t="s">
        <v>7</v>
      </c>
      <c r="D614" t="s">
        <v>909</v>
      </c>
      <c r="E614" s="5" t="s">
        <v>8</v>
      </c>
      <c r="F614" s="1">
        <f>[1]Other_transformation!B$20</f>
        <v>5.629414627434242</v>
      </c>
      <c r="G614" s="1">
        <f>[1]Other_transformation!C$20</f>
        <v>5.6371681023407954</v>
      </c>
      <c r="H614" s="1">
        <f>[1]Other_transformation!D$20</f>
        <v>5.4279791739799181</v>
      </c>
      <c r="I614" s="1">
        <f>[1]Other_transformation!E$20</f>
        <v>6.9211508615250983</v>
      </c>
      <c r="J614" s="1">
        <f>[1]Other_transformation!F$20</f>
        <v>7.6651620224520265</v>
      </c>
      <c r="K614" s="1">
        <f>[1]Other_transformation!G$20</f>
        <v>9.846831744273782</v>
      </c>
    </row>
    <row r="615" spans="2:11" x14ac:dyDescent="0.3">
      <c r="B615" s="5" t="str">
        <f t="shared" si="349"/>
        <v>SPS3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5.629414627434242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5.6371681023407954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5.4279791739799181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6.9211508615250983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7.6577671842505968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9.8275587175771317</v>
      </c>
    </row>
    <row r="616" spans="2:11" x14ac:dyDescent="0.3">
      <c r="B616" s="5" t="str">
        <f t="shared" si="349"/>
        <v>SPS3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3">
      <c r="B617" s="5" t="str">
        <f t="shared" si="349"/>
        <v>SPS3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6.1510033476962975E-3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6.7600399697616362E-3</v>
      </c>
    </row>
    <row r="618" spans="2:11" x14ac:dyDescent="0.3">
      <c r="B618" s="5" t="str">
        <f t="shared" si="349"/>
        <v>SPS3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1.2438348537332177E-3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1.2512986726888643E-2</v>
      </c>
    </row>
    <row r="619" spans="2:11" x14ac:dyDescent="0.3">
      <c r="B619" s="5" t="str">
        <f t="shared" si="349"/>
        <v>SPS3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0.13668443195391022</v>
      </c>
      <c r="H619" s="1">
        <f>[1]Other_transformation!D$21</f>
        <v>6.27048677302754E-3</v>
      </c>
      <c r="I619" s="1">
        <f>[1]Other_transformation!E$21</f>
        <v>0.6583068860782384</v>
      </c>
      <c r="J619" s="1">
        <f>[1]Other_transformation!F$21</f>
        <v>0.66410639568313734</v>
      </c>
      <c r="K619" s="1">
        <f>[1]Other_transformation!G$21</f>
        <v>0.66408738400377765</v>
      </c>
    </row>
    <row r="620" spans="2:11" x14ac:dyDescent="0.3">
      <c r="B620" s="5" t="str">
        <f t="shared" si="349"/>
        <v>SPS3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0.13668443195391022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6.27048677302754E-3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0.6583068860782384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0.65872963354867209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0.62983865456308863</v>
      </c>
    </row>
    <row r="621" spans="2:11" x14ac:dyDescent="0.3">
      <c r="B621" s="5" t="str">
        <f t="shared" si="349"/>
        <v>SPS3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5.3767621344652239E-3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3.4248729440689067E-2</v>
      </c>
    </row>
    <row r="622" spans="2:11" x14ac:dyDescent="0.3">
      <c r="B622" s="5" t="str">
        <f t="shared" si="349"/>
        <v>SPS3</v>
      </c>
      <c r="C622" s="5" t="s">
        <v>7</v>
      </c>
      <c r="D622" s="2" t="s">
        <v>383</v>
      </c>
      <c r="E622" s="9" t="s">
        <v>8</v>
      </c>
      <c r="F622" s="3">
        <f>F623+F624+F629</f>
        <v>0.11258829254868478</v>
      </c>
      <c r="G622" s="3">
        <f t="shared" ref="G622" si="377">G623+G624+G629</f>
        <v>0.11821073932497242</v>
      </c>
      <c r="H622" s="3">
        <f t="shared" ref="H622" si="378">H623+H624+H629</f>
        <v>0.10881040295051946</v>
      </c>
      <c r="I622" s="3">
        <f t="shared" ref="I622" si="379">I623+I624+I629</f>
        <v>0.16475529267363159</v>
      </c>
      <c r="J622" s="3">
        <f t="shared" ref="J622" si="380">J623+J624+J629</f>
        <v>0.17972390344206116</v>
      </c>
      <c r="K622" s="3">
        <f t="shared" ref="K622" si="381">K623+K624+K629</f>
        <v>0.22311829439646735</v>
      </c>
    </row>
    <row r="623" spans="2:11" x14ac:dyDescent="0.3">
      <c r="B623" s="5" t="str">
        <f t="shared" si="349"/>
        <v>SPS3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3">
      <c r="B624" s="5" t="str">
        <f t="shared" si="349"/>
        <v>SPS3</v>
      </c>
      <c r="C624" s="5" t="s">
        <v>7</v>
      </c>
      <c r="D624" t="s">
        <v>330</v>
      </c>
      <c r="E624" s="5" t="s">
        <v>8</v>
      </c>
      <c r="F624" s="1">
        <f>SUM(F625:F628)</f>
        <v>0.11258829254868478</v>
      </c>
      <c r="G624" s="1">
        <f t="shared" ref="G624:K624" si="382">SUM(G625:G628)</f>
        <v>0.112743362046816</v>
      </c>
      <c r="H624" s="1">
        <f t="shared" si="382"/>
        <v>0.10855958347959835</v>
      </c>
      <c r="I624" s="1">
        <f t="shared" si="382"/>
        <v>0.13842301723050202</v>
      </c>
      <c r="J624" s="1">
        <f t="shared" si="382"/>
        <v>0.15315534368501188</v>
      </c>
      <c r="K624" s="1">
        <f t="shared" si="382"/>
        <v>0.19655117435154276</v>
      </c>
    </row>
    <row r="625" spans="2:11" x14ac:dyDescent="0.3">
      <c r="B625" s="5" t="str">
        <f t="shared" si="349"/>
        <v>SPS3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0.11258829254868478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0.112743362046816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0.10855958347959835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0.13842301723050202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0.15315534368501188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0.19655117435154276</v>
      </c>
    </row>
    <row r="626" spans="2:11" x14ac:dyDescent="0.3">
      <c r="B626" s="5" t="str">
        <f t="shared" si="349"/>
        <v>SPS3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3">
      <c r="B627" s="5" t="str">
        <f t="shared" si="349"/>
        <v>SPS3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3">
      <c r="B628" s="5" t="str">
        <f t="shared" ref="B628:B691" si="383">B627</f>
        <v>SPS3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3">
      <c r="B629" s="5" t="str">
        <f t="shared" si="383"/>
        <v>SPS3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4">SUM(G630:G631)</f>
        <v>5.4673772781564205E-3</v>
      </c>
      <c r="H629" s="1">
        <f t="shared" si="384"/>
        <v>2.5081947092110192E-4</v>
      </c>
      <c r="I629" s="1">
        <f t="shared" si="384"/>
        <v>2.633227544312958E-2</v>
      </c>
      <c r="J629" s="1">
        <f t="shared" si="384"/>
        <v>2.6568559757049273E-2</v>
      </c>
      <c r="K629" s="1">
        <f t="shared" si="384"/>
        <v>2.6567120044924591E-2</v>
      </c>
    </row>
    <row r="630" spans="2:11" x14ac:dyDescent="0.3">
      <c r="B630" s="5" t="str">
        <f t="shared" si="383"/>
        <v>SPS3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5.4673772781564205E-3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2.5081947092110192E-4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2.633227544312958E-2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2.6349185341946944E-2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2.5193546182523591E-2</v>
      </c>
    </row>
    <row r="631" spans="2:11" x14ac:dyDescent="0.3">
      <c r="B631" s="5" t="str">
        <f t="shared" si="383"/>
        <v>SPS3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2.1937441510232989E-4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1.3735738624010001E-3</v>
      </c>
    </row>
    <row r="632" spans="2:11" x14ac:dyDescent="0.3">
      <c r="B632" s="5" t="str">
        <f t="shared" si="383"/>
        <v>SPS3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5">G633+G634+G639</f>
        <v>1.6402131834469248E-2</v>
      </c>
      <c r="H632" s="3">
        <f t="shared" ref="H632" si="386">H633+H634+H639</f>
        <v>7.5245841276330445E-4</v>
      </c>
      <c r="I632" s="3">
        <f t="shared" ref="I632" si="387">I633+I634+I639</f>
        <v>7.8996826329388634E-2</v>
      </c>
      <c r="J632" s="3">
        <f t="shared" ref="J632" si="388">J633+J634+J639</f>
        <v>7.9699105932919179E-2</v>
      </c>
      <c r="K632" s="3">
        <f t="shared" ref="K632" si="389">K633+K634+K639</f>
        <v>7.9695422219240517E-2</v>
      </c>
    </row>
    <row r="633" spans="2:11" x14ac:dyDescent="0.3">
      <c r="B633" s="5" t="str">
        <f t="shared" si="383"/>
        <v>SPS3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3">
      <c r="B634" s="5" t="str">
        <f t="shared" si="383"/>
        <v>SPS3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0">SUM(G635:G638)</f>
        <v>0</v>
      </c>
      <c r="H634" s="1">
        <f t="shared" ref="H634" si="391">SUM(H635:H638)</f>
        <v>0</v>
      </c>
      <c r="I634" s="1">
        <f t="shared" ref="I634" si="392">SUM(I635:I638)</f>
        <v>0</v>
      </c>
      <c r="J634" s="1">
        <f t="shared" ref="J634" si="393">SUM(J635:J638)</f>
        <v>0</v>
      </c>
      <c r="K634" s="1">
        <f t="shared" ref="K634" si="394">SUM(K635:K638)</f>
        <v>0</v>
      </c>
    </row>
    <row r="635" spans="2:11" x14ac:dyDescent="0.3">
      <c r="B635" s="5" t="str">
        <f t="shared" si="383"/>
        <v>SPS3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3">
      <c r="B636" s="5" t="str">
        <f t="shared" si="383"/>
        <v>SPS3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3">
      <c r="B637" s="5" t="str">
        <f t="shared" si="383"/>
        <v>SPS3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3">
      <c r="B638" s="5" t="str">
        <f t="shared" si="383"/>
        <v>SPS3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3">
      <c r="B639" s="5" t="str">
        <f t="shared" si="383"/>
        <v>SPS3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5">SUM(G640:G641)</f>
        <v>1.6402131834469248E-2</v>
      </c>
      <c r="H639" s="1">
        <f t="shared" ref="H639" si="396">SUM(H640:H641)</f>
        <v>7.5245841276330445E-4</v>
      </c>
      <c r="I639" s="1">
        <f t="shared" ref="I639" si="397">SUM(I640:I641)</f>
        <v>7.8996826329388634E-2</v>
      </c>
      <c r="J639" s="1">
        <f t="shared" ref="J639" si="398">SUM(J640:J641)</f>
        <v>7.9699105932919179E-2</v>
      </c>
      <c r="K639" s="1">
        <f t="shared" ref="K639" si="399">SUM(K640:K641)</f>
        <v>7.9695422219240517E-2</v>
      </c>
    </row>
    <row r="640" spans="2:11" x14ac:dyDescent="0.3">
      <c r="B640" s="5" t="str">
        <f t="shared" si="383"/>
        <v>SPS3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1.6402131834469248E-2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7.5245841276330445E-4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7.8996826329388634E-2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7.9047556025840793E-2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7.5580638547570689E-2</v>
      </c>
    </row>
    <row r="641" spans="2:11" x14ac:dyDescent="0.3">
      <c r="B641" s="5" t="str">
        <f t="shared" si="383"/>
        <v>SPS3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6.5154990707839023E-4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4.114783671669826E-3</v>
      </c>
    </row>
    <row r="642" spans="2:11" x14ac:dyDescent="0.3">
      <c r="B642" s="5" t="str">
        <f t="shared" si="383"/>
        <v>SPS3</v>
      </c>
      <c r="C642" s="5" t="s">
        <v>7</v>
      </c>
      <c r="D642" s="2" t="s">
        <v>387</v>
      </c>
      <c r="E642" s="9" t="s">
        <v>8</v>
      </c>
      <c r="F642" s="3">
        <f>F643+F644+F649</f>
        <v>13.477488654428514</v>
      </c>
      <c r="G642" s="3">
        <f t="shared" ref="G642" si="400">G643+G644+G649</f>
        <v>22.417580941684843</v>
      </c>
      <c r="H642" s="3">
        <f t="shared" ref="H642" si="401">H643+H644+H649</f>
        <v>21.881889347235141</v>
      </c>
      <c r="I642" s="3">
        <f t="shared" ref="I642" si="402">I643+I644+I649</f>
        <v>25.329582928680086</v>
      </c>
      <c r="J642" s="3">
        <f t="shared" ref="J642" si="403">J643+J644+J649</f>
        <v>28.750100773394905</v>
      </c>
      <c r="K642" s="3">
        <f t="shared" ref="K642" si="404">K643+K644+K649</f>
        <v>44.828825172190705</v>
      </c>
    </row>
    <row r="643" spans="2:11" x14ac:dyDescent="0.3">
      <c r="B643" s="5" t="str">
        <f t="shared" si="383"/>
        <v>SPS3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3.7981123036001563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12.540349061436519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12.54040171323124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12.540444094000744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14.675065279015836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26.999964862345124</v>
      </c>
    </row>
    <row r="644" spans="2:11" x14ac:dyDescent="0.3">
      <c r="B644" s="5" t="str">
        <f t="shared" si="383"/>
        <v>SPS3</v>
      </c>
      <c r="C644" s="5" t="s">
        <v>7</v>
      </c>
      <c r="D644" t="s">
        <v>914</v>
      </c>
      <c r="E644" s="5" t="s">
        <v>8</v>
      </c>
      <c r="F644" s="1">
        <f>SUM(F645:F648)</f>
        <v>9.6793763508283579</v>
      </c>
      <c r="G644" s="1">
        <f t="shared" ref="G644" si="405">SUM(G645:G648)</f>
        <v>9.6927078971105445</v>
      </c>
      <c r="H644" s="1">
        <f t="shared" ref="H644" si="406">SUM(H645:H648)</f>
        <v>9.3330224768603163</v>
      </c>
      <c r="I644" s="1">
        <f t="shared" ref="I644" si="407">SUM(I645:I648)</f>
        <v>11.900424538473718</v>
      </c>
      <c r="J644" s="1">
        <f t="shared" ref="J644" si="408">SUM(J645:J648)</f>
        <v>13.177745178625818</v>
      </c>
      <c r="K644" s="1">
        <f t="shared" ref="K644" si="409">SUM(K645:K648)</f>
        <v>16.927304330044322</v>
      </c>
    </row>
    <row r="645" spans="2:11" x14ac:dyDescent="0.3">
      <c r="B645" s="5" t="str">
        <f t="shared" si="383"/>
        <v>SPS3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9.6793763508283579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9.6927078971105445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9.3330224768603163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11.900424538473718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13.16698368994858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16.897785246394047</v>
      </c>
    </row>
    <row r="646" spans="2:11" x14ac:dyDescent="0.3">
      <c r="B646" s="5" t="str">
        <f t="shared" si="383"/>
        <v>SPS3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3">
      <c r="B647" s="5" t="str">
        <f t="shared" si="383"/>
        <v>SPS3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8.7871476395661591E-3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9.6571999568023422E-3</v>
      </c>
    </row>
    <row r="648" spans="2:11" x14ac:dyDescent="0.3">
      <c r="B648" s="5" t="str">
        <f t="shared" si="383"/>
        <v>SPS3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1.9743410376717738E-3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1.9861883693474025E-2</v>
      </c>
    </row>
    <row r="649" spans="2:11" x14ac:dyDescent="0.3">
      <c r="B649" s="5" t="str">
        <f t="shared" si="383"/>
        <v>SPS3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0">SUM(G650:G651)</f>
        <v>0.18452398313777893</v>
      </c>
      <c r="H649" s="1">
        <f t="shared" ref="H649" si="411">SUM(H650:H651)</f>
        <v>8.4651571435871795E-3</v>
      </c>
      <c r="I649" s="1">
        <f t="shared" ref="I649" si="412">SUM(I650:I651)</f>
        <v>0.88871429620562237</v>
      </c>
      <c r="J649" s="1">
        <f t="shared" ref="J649" si="413">SUM(J650:J651)</f>
        <v>0.89729031575325446</v>
      </c>
      <c r="K649" s="1">
        <f t="shared" ref="K649" si="414">SUM(K650:K651)</f>
        <v>0.90155597980125701</v>
      </c>
    </row>
    <row r="650" spans="2:11" x14ac:dyDescent="0.3">
      <c r="B650" s="5" t="str">
        <f t="shared" si="383"/>
        <v>SPS3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0.18452398313777893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8.4651571435871795E-3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0.88871429620562237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0.8892850052907082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0.85028218366017083</v>
      </c>
    </row>
    <row r="651" spans="2:11" x14ac:dyDescent="0.3">
      <c r="B651" s="5" t="str">
        <f t="shared" si="383"/>
        <v>SPS3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8.0053104625462269E-3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5.1273796141086174E-2</v>
      </c>
    </row>
    <row r="652" spans="2:11" x14ac:dyDescent="0.3">
      <c r="B652" s="5" t="str">
        <f t="shared" si="383"/>
        <v>SPS3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3">
      <c r="B653" s="5" t="str">
        <f t="shared" si="383"/>
        <v>SPS3</v>
      </c>
      <c r="C653" s="5" t="s">
        <v>7</v>
      </c>
      <c r="D653" t="s">
        <v>351</v>
      </c>
      <c r="E653" s="5" t="s">
        <v>8</v>
      </c>
      <c r="F653" s="4">
        <f t="shared" ref="F653:K653" si="415">IFERROR(SUM(F633,F623,F613)/F643,"-")</f>
        <v>0.34965034965034997</v>
      </c>
      <c r="G653" s="4">
        <f t="shared" si="415"/>
        <v>0.3496503496503503</v>
      </c>
      <c r="H653" s="4">
        <f t="shared" si="415"/>
        <v>0.34965034965034986</v>
      </c>
      <c r="I653" s="4">
        <f t="shared" si="415"/>
        <v>0.3496503496503498</v>
      </c>
      <c r="J653" s="4">
        <f t="shared" si="415"/>
        <v>0.34965034965035013</v>
      </c>
      <c r="K653" s="4">
        <f t="shared" si="415"/>
        <v>0.34965034965034991</v>
      </c>
    </row>
    <row r="654" spans="2:11" x14ac:dyDescent="0.3">
      <c r="B654" s="5" t="str">
        <f t="shared" si="383"/>
        <v>SPS3</v>
      </c>
      <c r="C654" s="5" t="s">
        <v>7</v>
      </c>
      <c r="D654" t="s">
        <v>352</v>
      </c>
      <c r="E654" s="5" t="s">
        <v>8</v>
      </c>
      <c r="F654" s="4">
        <f t="shared" ref="F654:K657" si="416">IFERROR(SUM(F635,F625,F615)/F645,"-")</f>
        <v>0.59322033898305104</v>
      </c>
      <c r="G654" s="4">
        <f t="shared" si="416"/>
        <v>0.59322033898305082</v>
      </c>
      <c r="H654" s="4">
        <f t="shared" si="416"/>
        <v>0.5932203389830516</v>
      </c>
      <c r="I654" s="4">
        <f t="shared" si="416"/>
        <v>0.59322033898305127</v>
      </c>
      <c r="J654" s="4">
        <f t="shared" si="416"/>
        <v>0.5932203389830516</v>
      </c>
      <c r="K654" s="4">
        <f t="shared" si="416"/>
        <v>0.59322033898305093</v>
      </c>
    </row>
    <row r="655" spans="2:11" x14ac:dyDescent="0.3">
      <c r="B655" s="5" t="str">
        <f t="shared" si="383"/>
        <v>SPS3</v>
      </c>
      <c r="C655" s="5" t="s">
        <v>7</v>
      </c>
      <c r="D655" t="s">
        <v>353</v>
      </c>
      <c r="E655" s="5" t="s">
        <v>8</v>
      </c>
      <c r="F655" s="4" t="str">
        <f t="shared" si="416"/>
        <v>-</v>
      </c>
      <c r="G655" s="4" t="str">
        <f t="shared" si="416"/>
        <v>-</v>
      </c>
      <c r="H655" s="4" t="str">
        <f t="shared" si="416"/>
        <v>-</v>
      </c>
      <c r="I655" s="4" t="str">
        <f t="shared" si="416"/>
        <v>-</v>
      </c>
      <c r="J655" s="4" t="str">
        <f t="shared" si="416"/>
        <v>-</v>
      </c>
      <c r="K655" s="4" t="str">
        <f t="shared" si="416"/>
        <v>-</v>
      </c>
    </row>
    <row r="656" spans="2:11" x14ac:dyDescent="0.3">
      <c r="B656" s="5" t="str">
        <f t="shared" si="383"/>
        <v>SPS3</v>
      </c>
      <c r="C656" s="5" t="s">
        <v>7</v>
      </c>
      <c r="D656" t="s">
        <v>354</v>
      </c>
      <c r="E656" s="5" t="s">
        <v>8</v>
      </c>
      <c r="F656" s="4" t="str">
        <f t="shared" si="416"/>
        <v>-</v>
      </c>
      <c r="G656" s="4" t="str">
        <f t="shared" si="416"/>
        <v>-</v>
      </c>
      <c r="H656" s="4" t="str">
        <f t="shared" si="416"/>
        <v>-</v>
      </c>
      <c r="I656" s="4" t="str">
        <f t="shared" si="416"/>
        <v>-</v>
      </c>
      <c r="J656" s="4">
        <f t="shared" si="416"/>
        <v>0.6999999999999984</v>
      </c>
      <c r="K656" s="4">
        <f t="shared" si="416"/>
        <v>0.69999999999999962</v>
      </c>
    </row>
    <row r="657" spans="2:11" x14ac:dyDescent="0.3">
      <c r="B657" s="5" t="str">
        <f t="shared" si="383"/>
        <v>SPS3</v>
      </c>
      <c r="C657" s="5" t="s">
        <v>7</v>
      </c>
      <c r="D657" t="s">
        <v>355</v>
      </c>
      <c r="E657" s="5" t="s">
        <v>8</v>
      </c>
      <c r="F657" s="4" t="str">
        <f t="shared" si="416"/>
        <v>-</v>
      </c>
      <c r="G657" s="4" t="str">
        <f t="shared" si="416"/>
        <v>-</v>
      </c>
      <c r="H657" s="4" t="str">
        <f t="shared" si="416"/>
        <v>-</v>
      </c>
      <c r="I657" s="4" t="str">
        <f t="shared" si="416"/>
        <v>-</v>
      </c>
      <c r="J657" s="4">
        <f t="shared" si="416"/>
        <v>0.63000000000000012</v>
      </c>
      <c r="K657" s="4">
        <f t="shared" si="416"/>
        <v>0.63000000000000034</v>
      </c>
    </row>
    <row r="658" spans="2:11" x14ac:dyDescent="0.3">
      <c r="B658" s="5" t="str">
        <f t="shared" si="383"/>
        <v>SPS3</v>
      </c>
      <c r="C658" s="5" t="s">
        <v>7</v>
      </c>
      <c r="D658" t="s">
        <v>356</v>
      </c>
      <c r="E658" s="5" t="s">
        <v>8</v>
      </c>
      <c r="F658" s="4" t="str">
        <f t="shared" ref="F658:K659" si="417">IFERROR(SUM(F640,F630,F620)/F650,"-")</f>
        <v>-</v>
      </c>
      <c r="G658" s="4">
        <f t="shared" si="417"/>
        <v>0.85925925925925883</v>
      </c>
      <c r="H658" s="4">
        <f t="shared" si="417"/>
        <v>0.85925925925925917</v>
      </c>
      <c r="I658" s="4">
        <f t="shared" si="417"/>
        <v>0.85925925925925883</v>
      </c>
      <c r="J658" s="4">
        <f t="shared" si="417"/>
        <v>0.85925925925925861</v>
      </c>
      <c r="K658" s="4">
        <f t="shared" si="417"/>
        <v>0.85925925925925817</v>
      </c>
    </row>
    <row r="659" spans="2:11" x14ac:dyDescent="0.3">
      <c r="B659" s="5" t="str">
        <f t="shared" si="383"/>
        <v>SPS3</v>
      </c>
      <c r="C659" s="5" t="s">
        <v>7</v>
      </c>
      <c r="D659" t="s">
        <v>357</v>
      </c>
      <c r="E659" s="5" t="s">
        <v>8</v>
      </c>
      <c r="F659" s="4" t="str">
        <f t="shared" si="417"/>
        <v>-</v>
      </c>
      <c r="G659" s="4" t="str">
        <f t="shared" si="417"/>
        <v>-</v>
      </c>
      <c r="H659" s="4" t="str">
        <f t="shared" si="417"/>
        <v>-</v>
      </c>
      <c r="I659" s="4" t="str">
        <f t="shared" si="417"/>
        <v>-</v>
      </c>
      <c r="J659" s="4">
        <f t="shared" si="417"/>
        <v>0.78044274308616379</v>
      </c>
      <c r="K659" s="4">
        <f t="shared" si="417"/>
        <v>0.77499795149589468</v>
      </c>
    </row>
    <row r="660" spans="2:11" x14ac:dyDescent="0.3">
      <c r="B660" s="9" t="str">
        <f t="shared" si="383"/>
        <v>SPS3</v>
      </c>
      <c r="C660" s="9" t="s">
        <v>7</v>
      </c>
      <c r="D660" s="2" t="s">
        <v>390</v>
      </c>
      <c r="E660" s="9" t="s">
        <v>8</v>
      </c>
      <c r="F660" s="3">
        <f>SUM(F661,F665,F674)</f>
        <v>3.5102698047427845E-3</v>
      </c>
      <c r="G660" s="3">
        <f t="shared" ref="G660:K660" si="418">SUM(G661,G665,G674)</f>
        <v>4.1781516031292954E-3</v>
      </c>
      <c r="H660" s="3">
        <f t="shared" si="418"/>
        <v>4.1884572849596362E-3</v>
      </c>
      <c r="I660" s="3">
        <f t="shared" si="418"/>
        <v>4.1908547742934808E-3</v>
      </c>
      <c r="J660" s="3">
        <f t="shared" si="418"/>
        <v>21.991070754440408</v>
      </c>
      <c r="K660" s="3">
        <f t="shared" si="418"/>
        <v>27.588221186041658</v>
      </c>
    </row>
    <row r="661" spans="2:11" x14ac:dyDescent="0.3">
      <c r="B661" t="str">
        <f t="shared" si="383"/>
        <v>SPS3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3.5102698047427845E-3</v>
      </c>
      <c r="G661" s="1">
        <f>[1]Other_transformation!C$28</f>
        <v>4.1781516031292954E-3</v>
      </c>
      <c r="H661" s="1">
        <f>[1]Other_transformation!D$28</f>
        <v>4.1884572849596362E-3</v>
      </c>
      <c r="I661" s="1">
        <f>[1]Other_transformation!E$28</f>
        <v>4.1908547742934808E-3</v>
      </c>
      <c r="J661" s="1">
        <f>[1]Other_transformation!F$28</f>
        <v>21.991070754440408</v>
      </c>
      <c r="K661" s="1">
        <f>[1]Other_transformation!G$28</f>
        <v>21.991064128393653</v>
      </c>
    </row>
    <row r="662" spans="2:11" x14ac:dyDescent="0.3">
      <c r="B662" t="str">
        <f t="shared" si="383"/>
        <v>SPS3</v>
      </c>
      <c r="C662" t="str">
        <f t="shared" ref="C662:C673" si="419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3.5102698047427845E-3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4.1781516031292954E-3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4.1884572849596362E-3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4.1892226080768539E-3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3.1242357594763357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11.285292028193949</v>
      </c>
    </row>
    <row r="663" spans="2:11" x14ac:dyDescent="0.3">
      <c r="B663" t="str">
        <f t="shared" si="383"/>
        <v>SPS3</v>
      </c>
      <c r="C663" t="str">
        <f t="shared" ref="C663" si="420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1.6321662166271763E-6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0.5140824087610012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1.530966967754938</v>
      </c>
    </row>
    <row r="664" spans="2:11" x14ac:dyDescent="0.3">
      <c r="B664" t="str">
        <f t="shared" si="383"/>
        <v>SPS3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18.352752586203071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9.1748051324447637</v>
      </c>
    </row>
    <row r="665" spans="2:11" x14ac:dyDescent="0.3">
      <c r="B665" t="str">
        <f t="shared" si="383"/>
        <v>SPS3</v>
      </c>
      <c r="C665" t="str">
        <f t="shared" si="419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1.1311539874173871E-2</v>
      </c>
    </row>
    <row r="666" spans="2:11" x14ac:dyDescent="0.3">
      <c r="B666" t="str">
        <f t="shared" si="383"/>
        <v>SPS3</v>
      </c>
      <c r="C666" t="str">
        <f t="shared" si="419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1.3842229920916216E-3</v>
      </c>
    </row>
    <row r="667" spans="2:11" x14ac:dyDescent="0.3">
      <c r="B667" t="str">
        <f t="shared" si="383"/>
        <v>SPS3</v>
      </c>
      <c r="C667" t="str">
        <f t="shared" si="419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9.9273168820822495E-3</v>
      </c>
    </row>
    <row r="668" spans="2:11" x14ac:dyDescent="0.3">
      <c r="B668" t="str">
        <f t="shared" si="383"/>
        <v>SPS3</v>
      </c>
      <c r="C668" t="str">
        <f t="shared" si="419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1">G665-G671</f>
        <v>0</v>
      </c>
      <c r="H668" s="1">
        <f t="shared" si="421"/>
        <v>0</v>
      </c>
      <c r="I668" s="1">
        <f t="shared" si="421"/>
        <v>0</v>
      </c>
      <c r="J668" s="1">
        <f t="shared" si="421"/>
        <v>0</v>
      </c>
      <c r="K668" s="1">
        <f t="shared" si="421"/>
        <v>0</v>
      </c>
    </row>
    <row r="669" spans="2:11" x14ac:dyDescent="0.3">
      <c r="B669" t="str">
        <f t="shared" si="383"/>
        <v>SPS3</v>
      </c>
      <c r="C669" t="str">
        <f t="shared" si="419"/>
        <v>CH</v>
      </c>
      <c r="D669" t="s">
        <v>607</v>
      </c>
      <c r="E669" s="5" t="s">
        <v>8</v>
      </c>
      <c r="F669" s="1">
        <f t="shared" ref="F669:K669" si="422">F666-F672</f>
        <v>0</v>
      </c>
      <c r="G669" s="1">
        <f t="shared" si="422"/>
        <v>0</v>
      </c>
      <c r="H669" s="1">
        <f t="shared" si="422"/>
        <v>0</v>
      </c>
      <c r="I669" s="1">
        <f t="shared" si="422"/>
        <v>0</v>
      </c>
      <c r="J669" s="1">
        <f t="shared" si="422"/>
        <v>0</v>
      </c>
      <c r="K669" s="1">
        <f t="shared" si="422"/>
        <v>0</v>
      </c>
    </row>
    <row r="670" spans="2:11" x14ac:dyDescent="0.3">
      <c r="B670" t="str">
        <f t="shared" si="383"/>
        <v>SPS3</v>
      </c>
      <c r="C670" t="str">
        <f t="shared" si="419"/>
        <v>CH</v>
      </c>
      <c r="D670" t="s">
        <v>608</v>
      </c>
      <c r="E670" s="5" t="s">
        <v>8</v>
      </c>
      <c r="F670" s="1">
        <f t="shared" ref="F670:K670" si="423">F667-F673</f>
        <v>0</v>
      </c>
      <c r="G670" s="1">
        <f t="shared" si="423"/>
        <v>0</v>
      </c>
      <c r="H670" s="1">
        <f t="shared" si="423"/>
        <v>0</v>
      </c>
      <c r="I670" s="1">
        <f t="shared" si="423"/>
        <v>0</v>
      </c>
      <c r="J670" s="1">
        <f t="shared" si="423"/>
        <v>0</v>
      </c>
      <c r="K670" s="1">
        <f t="shared" si="423"/>
        <v>0</v>
      </c>
    </row>
    <row r="671" spans="2:11" x14ac:dyDescent="0.3">
      <c r="B671" t="str">
        <f t="shared" si="383"/>
        <v>SPS3</v>
      </c>
      <c r="C671" t="str">
        <f t="shared" si="419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4">SUM(G672:G673)</f>
        <v>0</v>
      </c>
      <c r="H671" s="1">
        <f t="shared" si="424"/>
        <v>0</v>
      </c>
      <c r="I671" s="1">
        <f t="shared" si="424"/>
        <v>0</v>
      </c>
      <c r="J671" s="1">
        <f t="shared" si="424"/>
        <v>0</v>
      </c>
      <c r="K671" s="1">
        <f t="shared" si="424"/>
        <v>1.1311539874173871E-2</v>
      </c>
    </row>
    <row r="672" spans="2:11" x14ac:dyDescent="0.3">
      <c r="B672" t="str">
        <f t="shared" si="383"/>
        <v>SPS3</v>
      </c>
      <c r="C672" t="str">
        <f t="shared" si="419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1.3842229920916216E-3</v>
      </c>
    </row>
    <row r="673" spans="2:11" x14ac:dyDescent="0.3">
      <c r="B673" t="str">
        <f t="shared" si="383"/>
        <v>SPS3</v>
      </c>
      <c r="C673" t="str">
        <f t="shared" si="419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9.9273168820822495E-3</v>
      </c>
    </row>
    <row r="674" spans="2:11" x14ac:dyDescent="0.3">
      <c r="B674" t="str">
        <f t="shared" si="383"/>
        <v>SPS3</v>
      </c>
      <c r="C674" t="str">
        <f t="shared" ref="C674:C676" si="425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26">SUM(G675:G676)</f>
        <v>0</v>
      </c>
      <c r="H674" s="1">
        <f t="shared" si="426"/>
        <v>0</v>
      </c>
      <c r="I674" s="1">
        <f t="shared" si="426"/>
        <v>0</v>
      </c>
      <c r="J674" s="1">
        <f t="shared" si="426"/>
        <v>0</v>
      </c>
      <c r="K674" s="1">
        <f t="shared" si="426"/>
        <v>5.5858455177738282</v>
      </c>
    </row>
    <row r="675" spans="2:11" x14ac:dyDescent="0.3">
      <c r="B675" t="str">
        <f t="shared" si="383"/>
        <v>SPS3</v>
      </c>
      <c r="C675" t="str">
        <f t="shared" si="425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1.2292725849087915E-3</v>
      </c>
    </row>
    <row r="676" spans="2:11" x14ac:dyDescent="0.3">
      <c r="B676" t="str">
        <f t="shared" si="383"/>
        <v>SPS3</v>
      </c>
      <c r="C676" t="str">
        <f t="shared" si="425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5.5846162451889194</v>
      </c>
    </row>
    <row r="677" spans="2:11" x14ac:dyDescent="0.3">
      <c r="B677" s="9" t="str">
        <f t="shared" si="383"/>
        <v>SPS3</v>
      </c>
      <c r="C677" s="9" t="s">
        <v>7</v>
      </c>
      <c r="D677" s="2" t="s">
        <v>406</v>
      </c>
      <c r="E677" s="9" t="s">
        <v>8</v>
      </c>
      <c r="F677" s="3">
        <f>SUM(F678,F682,F684,F693)</f>
        <v>5.1244814667777841E-3</v>
      </c>
      <c r="G677" s="3">
        <f t="shared" ref="G677:K677" si="427">SUM(G678,G682,G684,G693)</f>
        <v>6.0203913589759331E-3</v>
      </c>
      <c r="H677" s="3">
        <f t="shared" si="427"/>
        <v>5.9200809681408291E-3</v>
      </c>
      <c r="I677" s="3">
        <f t="shared" si="427"/>
        <v>5.7408969510869563E-3</v>
      </c>
      <c r="J677" s="3">
        <f t="shared" si="427"/>
        <v>25.789722003224128</v>
      </c>
      <c r="K677" s="3">
        <f t="shared" si="427"/>
        <v>35.470718314396159</v>
      </c>
    </row>
    <row r="678" spans="2:11" x14ac:dyDescent="0.3">
      <c r="B678" t="str">
        <f t="shared" si="383"/>
        <v>SPS3</v>
      </c>
      <c r="C678" t="str">
        <f>C677</f>
        <v>CH</v>
      </c>
      <c r="D678" t="s">
        <v>921</v>
      </c>
      <c r="E678" s="5" t="s">
        <v>8</v>
      </c>
      <c r="F678" s="1">
        <f>SUM(F679:F681)</f>
        <v>5.1244814667777841E-3</v>
      </c>
      <c r="G678" s="1">
        <f t="shared" ref="G678:K678" si="428">SUM(G679:G681)</f>
        <v>6.0203913589759331E-3</v>
      </c>
      <c r="H678" s="1">
        <f t="shared" si="428"/>
        <v>5.9200809681408291E-3</v>
      </c>
      <c r="I678" s="1">
        <f t="shared" si="428"/>
        <v>5.7408969510869563E-3</v>
      </c>
      <c r="J678" s="1">
        <f t="shared" si="428"/>
        <v>23.047356674251251</v>
      </c>
      <c r="K678" s="1">
        <f t="shared" si="428"/>
        <v>24.804389273845842</v>
      </c>
    </row>
    <row r="679" spans="2:11" x14ac:dyDescent="0.3">
      <c r="B679" t="str">
        <f t="shared" si="383"/>
        <v>SPS3</v>
      </c>
      <c r="C679" t="str">
        <f t="shared" ref="C679:C695" si="429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5.1244814667777841E-3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6.0203913589759331E-3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5.9200809681408291E-3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5.7386611069545901E-3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4.031271947711403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13.762551253895055</v>
      </c>
    </row>
    <row r="680" spans="2:11" x14ac:dyDescent="0.3">
      <c r="B680" t="str">
        <f t="shared" si="383"/>
        <v>SPS3</v>
      </c>
      <c r="C680" t="str">
        <f t="shared" ref="C680" si="430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2.2358441323659939E-6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0.66333214033677634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1.8670328875060218</v>
      </c>
    </row>
    <row r="681" spans="2:11" x14ac:dyDescent="0.3">
      <c r="B681" t="str">
        <f t="shared" si="383"/>
        <v>SPS3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18.352752586203071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9.1748051324447637</v>
      </c>
    </row>
    <row r="682" spans="2:11" x14ac:dyDescent="0.3">
      <c r="B682" t="str">
        <f t="shared" si="383"/>
        <v>SPS3</v>
      </c>
      <c r="C682" t="str">
        <f t="shared" ref="C682:C683" si="431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32">G683</f>
        <v>0</v>
      </c>
      <c r="H682" s="1">
        <f t="shared" si="432"/>
        <v>0</v>
      </c>
      <c r="I682" s="1">
        <f t="shared" si="432"/>
        <v>0</v>
      </c>
      <c r="J682" s="1">
        <f t="shared" si="432"/>
        <v>2.7423653289728764</v>
      </c>
      <c r="K682" s="1">
        <f t="shared" si="432"/>
        <v>1.0194227924938613</v>
      </c>
    </row>
    <row r="683" spans="2:11" x14ac:dyDescent="0.3">
      <c r="B683" t="str">
        <f t="shared" si="383"/>
        <v>SPS3</v>
      </c>
      <c r="C683" t="str">
        <f t="shared" si="431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2.7423653289728764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1.0194227924938613</v>
      </c>
    </row>
    <row r="684" spans="2:11" x14ac:dyDescent="0.3">
      <c r="B684" t="str">
        <f t="shared" si="383"/>
        <v>SPS3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33">SUM(G685:G686)</f>
        <v>0</v>
      </c>
      <c r="H684" s="1">
        <f t="shared" si="433"/>
        <v>0</v>
      </c>
      <c r="I684" s="1">
        <f t="shared" si="433"/>
        <v>0</v>
      </c>
      <c r="J684" s="1">
        <f t="shared" si="433"/>
        <v>0</v>
      </c>
      <c r="K684" s="1">
        <f t="shared" si="433"/>
        <v>1.6208761813359503E-2</v>
      </c>
    </row>
    <row r="685" spans="2:11" x14ac:dyDescent="0.3">
      <c r="B685" t="str">
        <f t="shared" si="383"/>
        <v>SPS3</v>
      </c>
      <c r="C685" t="str">
        <f t="shared" si="429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1.8213460422258187E-3</v>
      </c>
    </row>
    <row r="686" spans="2:11" x14ac:dyDescent="0.3">
      <c r="B686" t="str">
        <f t="shared" si="383"/>
        <v>SPS3</v>
      </c>
      <c r="C686" t="str">
        <f t="shared" si="429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1.4387415771133685E-2</v>
      </c>
    </row>
    <row r="687" spans="2:11" x14ac:dyDescent="0.3">
      <c r="B687" t="str">
        <f t="shared" si="383"/>
        <v>SPS3</v>
      </c>
      <c r="C687" t="str">
        <f t="shared" si="429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34">G684-G690</f>
        <v>0</v>
      </c>
      <c r="H687" s="1">
        <f t="shared" si="434"/>
        <v>0</v>
      </c>
      <c r="I687" s="1">
        <f t="shared" si="434"/>
        <v>0</v>
      </c>
      <c r="J687" s="1">
        <f t="shared" si="434"/>
        <v>0</v>
      </c>
      <c r="K687" s="1">
        <f t="shared" si="434"/>
        <v>0</v>
      </c>
    </row>
    <row r="688" spans="2:11" x14ac:dyDescent="0.3">
      <c r="B688" t="str">
        <f t="shared" si="383"/>
        <v>SPS3</v>
      </c>
      <c r="C688" t="str">
        <f t="shared" si="429"/>
        <v>CH</v>
      </c>
      <c r="D688" t="s">
        <v>609</v>
      </c>
      <c r="E688" s="5" t="s">
        <v>8</v>
      </c>
      <c r="F688" s="1">
        <f t="shared" ref="F688:K688" si="435">F685-F691</f>
        <v>0</v>
      </c>
      <c r="G688" s="1">
        <f t="shared" si="435"/>
        <v>0</v>
      </c>
      <c r="H688" s="1">
        <f t="shared" si="435"/>
        <v>0</v>
      </c>
      <c r="I688" s="1">
        <f t="shared" si="435"/>
        <v>0</v>
      </c>
      <c r="J688" s="1">
        <f t="shared" si="435"/>
        <v>0</v>
      </c>
      <c r="K688" s="1">
        <f t="shared" si="435"/>
        <v>0</v>
      </c>
    </row>
    <row r="689" spans="2:11" x14ac:dyDescent="0.3">
      <c r="B689" t="str">
        <f t="shared" si="383"/>
        <v>SPS3</v>
      </c>
      <c r="C689" t="str">
        <f t="shared" si="429"/>
        <v>CH</v>
      </c>
      <c r="D689" t="s">
        <v>610</v>
      </c>
      <c r="E689" s="5" t="s">
        <v>8</v>
      </c>
      <c r="F689" s="1">
        <f t="shared" ref="F689:K689" si="436">F686-F692</f>
        <v>0</v>
      </c>
      <c r="G689" s="1">
        <f t="shared" si="436"/>
        <v>0</v>
      </c>
      <c r="H689" s="1">
        <f t="shared" si="436"/>
        <v>0</v>
      </c>
      <c r="I689" s="1">
        <f t="shared" si="436"/>
        <v>0</v>
      </c>
      <c r="J689" s="1">
        <f t="shared" si="436"/>
        <v>0</v>
      </c>
      <c r="K689" s="1">
        <f t="shared" si="436"/>
        <v>0</v>
      </c>
    </row>
    <row r="690" spans="2:11" x14ac:dyDescent="0.3">
      <c r="B690" t="str">
        <f t="shared" si="383"/>
        <v>SPS3</v>
      </c>
      <c r="C690" t="str">
        <f t="shared" si="429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37">SUM(G691:G692)</f>
        <v>0</v>
      </c>
      <c r="H690" s="1">
        <f t="shared" si="437"/>
        <v>0</v>
      </c>
      <c r="I690" s="1">
        <f t="shared" si="437"/>
        <v>0</v>
      </c>
      <c r="J690" s="1">
        <f t="shared" si="437"/>
        <v>0</v>
      </c>
      <c r="K690" s="1">
        <f t="shared" si="437"/>
        <v>1.6208761813359503E-2</v>
      </c>
    </row>
    <row r="691" spans="2:11" x14ac:dyDescent="0.3">
      <c r="B691" t="str">
        <f t="shared" si="383"/>
        <v>SPS3</v>
      </c>
      <c r="C691" t="str">
        <f t="shared" si="429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38">IFERROR(G672/G666,0)*G685</f>
        <v>0</v>
      </c>
      <c r="H691" s="1">
        <f t="shared" si="438"/>
        <v>0</v>
      </c>
      <c r="I691" s="1">
        <f t="shared" si="438"/>
        <v>0</v>
      </c>
      <c r="J691" s="1">
        <f t="shared" si="438"/>
        <v>0</v>
      </c>
      <c r="K691" s="1">
        <f t="shared" si="438"/>
        <v>1.8213460422258187E-3</v>
      </c>
    </row>
    <row r="692" spans="2:11" x14ac:dyDescent="0.3">
      <c r="B692" t="str">
        <f t="shared" ref="B692:B755" si="439">B691</f>
        <v>SPS3</v>
      </c>
      <c r="C692" t="str">
        <f t="shared" si="429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38"/>
        <v>0</v>
      </c>
      <c r="H692" s="1">
        <f t="shared" si="438"/>
        <v>0</v>
      </c>
      <c r="I692" s="1">
        <f t="shared" si="438"/>
        <v>0</v>
      </c>
      <c r="J692" s="1">
        <f t="shared" si="438"/>
        <v>0</v>
      </c>
      <c r="K692" s="1">
        <f t="shared" si="438"/>
        <v>1.4387415771133685E-2</v>
      </c>
    </row>
    <row r="693" spans="2:11" x14ac:dyDescent="0.3">
      <c r="B693" t="str">
        <f t="shared" si="439"/>
        <v>SPS3</v>
      </c>
      <c r="C693" t="str">
        <f t="shared" si="429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0">SUM(G694:G695)</f>
        <v>0</v>
      </c>
      <c r="H693" s="1">
        <f t="shared" si="440"/>
        <v>0</v>
      </c>
      <c r="I693" s="1">
        <f t="shared" si="440"/>
        <v>0</v>
      </c>
      <c r="J693" s="1">
        <f t="shared" si="440"/>
        <v>0</v>
      </c>
      <c r="K693" s="1">
        <f t="shared" si="440"/>
        <v>9.6306974862430916</v>
      </c>
    </row>
    <row r="694" spans="2:11" x14ac:dyDescent="0.3">
      <c r="B694" t="str">
        <f t="shared" si="439"/>
        <v>SPS3</v>
      </c>
      <c r="C694" t="str">
        <f t="shared" si="429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2.0487876415141676E-3</v>
      </c>
    </row>
    <row r="695" spans="2:11" x14ac:dyDescent="0.3">
      <c r="B695" t="str">
        <f t="shared" si="439"/>
        <v>SPS3</v>
      </c>
      <c r="C695" t="str">
        <f t="shared" si="429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9.6286486986015767</v>
      </c>
    </row>
    <row r="696" spans="2:11" x14ac:dyDescent="0.3">
      <c r="B696" s="9" t="str">
        <f t="shared" si="439"/>
        <v>SPS3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3">
      <c r="B697" t="str">
        <f t="shared" si="439"/>
        <v>SPS3</v>
      </c>
      <c r="C697" t="str">
        <f t="shared" ref="C697:C703" si="441">C696</f>
        <v>CH</v>
      </c>
      <c r="D697" t="s">
        <v>409</v>
      </c>
      <c r="E697" s="5" t="s">
        <v>240</v>
      </c>
      <c r="F697" s="4">
        <f>IFERROR(F662/F679,"-")</f>
        <v>0.6850000000000005</v>
      </c>
      <c r="G697" s="4">
        <f t="shared" ref="G697:K697" si="442">IFERROR(G662/G679,"-")</f>
        <v>0.69399999999999962</v>
      </c>
      <c r="H697" s="4">
        <f t="shared" si="442"/>
        <v>0.70749999999999991</v>
      </c>
      <c r="I697" s="4">
        <f t="shared" si="442"/>
        <v>0.73000000000000054</v>
      </c>
      <c r="J697" s="4">
        <f t="shared" si="442"/>
        <v>0.77499999999999958</v>
      </c>
      <c r="K697" s="4">
        <f t="shared" si="442"/>
        <v>0.82000000000000028</v>
      </c>
    </row>
    <row r="698" spans="2:11" x14ac:dyDescent="0.3">
      <c r="B698" t="str">
        <f t="shared" si="439"/>
        <v>SPS3</v>
      </c>
      <c r="C698" t="str">
        <f t="shared" si="441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43">IFERROR(G663/G680,"-")</f>
        <v>-</v>
      </c>
      <c r="H698" s="4" t="str">
        <f t="shared" si="443"/>
        <v>-</v>
      </c>
      <c r="I698" s="4">
        <f t="shared" si="443"/>
        <v>0.73000000000000032</v>
      </c>
      <c r="J698" s="4">
        <f t="shared" si="443"/>
        <v>0.77499999999999925</v>
      </c>
      <c r="K698" s="4">
        <f t="shared" si="443"/>
        <v>0.82000000000000006</v>
      </c>
    </row>
    <row r="699" spans="2:11" x14ac:dyDescent="0.3">
      <c r="B699" t="str">
        <f t="shared" si="439"/>
        <v>SPS3</v>
      </c>
      <c r="C699" t="str">
        <f t="shared" si="441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44">IFERROR(G664/SUM(G681,G683),"-")</f>
        <v>-</v>
      </c>
      <c r="H699" s="4" t="str">
        <f t="shared" si="444"/>
        <v>-</v>
      </c>
      <c r="I699" s="4" t="str">
        <f t="shared" si="444"/>
        <v>-</v>
      </c>
      <c r="J699" s="4">
        <f t="shared" si="444"/>
        <v>0.86999999999999977</v>
      </c>
      <c r="K699" s="4">
        <f t="shared" si="444"/>
        <v>0.90000000000000013</v>
      </c>
    </row>
    <row r="700" spans="2:11" x14ac:dyDescent="0.3">
      <c r="B700" t="str">
        <f t="shared" si="439"/>
        <v>SPS3</v>
      </c>
      <c r="C700" t="str">
        <f t="shared" si="441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45">IFERROR(G666/G685,"-")</f>
        <v>-</v>
      </c>
      <c r="H700" s="4" t="str">
        <f t="shared" si="445"/>
        <v>-</v>
      </c>
      <c r="I700" s="4" t="str">
        <f t="shared" si="445"/>
        <v>-</v>
      </c>
      <c r="J700" s="4" t="str">
        <f t="shared" si="445"/>
        <v>-</v>
      </c>
      <c r="K700" s="4">
        <f t="shared" si="445"/>
        <v>0.75999999999999968</v>
      </c>
    </row>
    <row r="701" spans="2:11" x14ac:dyDescent="0.3">
      <c r="B701" t="str">
        <f t="shared" si="439"/>
        <v>SPS3</v>
      </c>
      <c r="C701" t="str">
        <f t="shared" si="441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45"/>
        <v>-</v>
      </c>
      <c r="H701" s="4" t="str">
        <f t="shared" si="445"/>
        <v>-</v>
      </c>
      <c r="I701" s="4" t="str">
        <f t="shared" si="445"/>
        <v>-</v>
      </c>
      <c r="J701" s="4" t="str">
        <f t="shared" si="445"/>
        <v>-</v>
      </c>
      <c r="K701" s="4">
        <f t="shared" si="445"/>
        <v>0.6900000000000005</v>
      </c>
    </row>
    <row r="702" spans="2:11" x14ac:dyDescent="0.3">
      <c r="B702" t="str">
        <f t="shared" si="439"/>
        <v>SPS3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46">IFERROR(G675/G694,"-")</f>
        <v>-</v>
      </c>
      <c r="H702" s="4" t="str">
        <f t="shared" si="446"/>
        <v>-</v>
      </c>
      <c r="I702" s="4" t="str">
        <f t="shared" si="446"/>
        <v>-</v>
      </c>
      <c r="J702" s="4" t="str">
        <f t="shared" si="446"/>
        <v>-</v>
      </c>
      <c r="K702" s="4">
        <f t="shared" si="446"/>
        <v>0.60000000000014209</v>
      </c>
    </row>
    <row r="703" spans="2:11" x14ac:dyDescent="0.3">
      <c r="B703" t="str">
        <f t="shared" si="439"/>
        <v>SPS3</v>
      </c>
      <c r="C703" t="str">
        <f t="shared" si="441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46"/>
        <v>-</v>
      </c>
      <c r="H703" s="4" t="str">
        <f t="shared" si="446"/>
        <v>-</v>
      </c>
      <c r="I703" s="4" t="str">
        <f t="shared" si="446"/>
        <v>-</v>
      </c>
      <c r="J703" s="4" t="str">
        <f t="shared" si="446"/>
        <v>-</v>
      </c>
      <c r="K703" s="4">
        <f t="shared" si="446"/>
        <v>0.58000000000000052</v>
      </c>
    </row>
    <row r="704" spans="2:11" x14ac:dyDescent="0.3">
      <c r="B704" s="9" t="str">
        <f t="shared" si="439"/>
        <v>SPS3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1.1764787816938644</v>
      </c>
      <c r="G704" s="1">
        <f>[1]Other_transformation!C$39</f>
        <v>1.2964888407457542</v>
      </c>
      <c r="H704" s="1">
        <f>[1]Other_transformation!D$39</f>
        <v>1.2964870491405391</v>
      </c>
      <c r="I704" s="1">
        <f>[1]Other_transformation!E$39</f>
        <v>6.1213470265923204</v>
      </c>
      <c r="J704" s="1">
        <f>[1]Other_transformation!F$39</f>
        <v>5.693302030618586</v>
      </c>
      <c r="K704" s="1">
        <f>[1]Other_transformation!G$39</f>
        <v>10.207873630481652</v>
      </c>
    </row>
    <row r="705" spans="2:11" x14ac:dyDescent="0.3">
      <c r="B705" s="9" t="str">
        <f t="shared" si="439"/>
        <v>SPS3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1.2890791369652281</v>
      </c>
      <c r="G705" s="1">
        <f>[1]Other_transformation!C$38</f>
        <v>1.4205753150153078</v>
      </c>
      <c r="H705" s="1">
        <f>[1]Other_transformation!D$38</f>
        <v>1.4205733519362134</v>
      </c>
      <c r="I705" s="1">
        <f>[1]Other_transformation!E$38</f>
        <v>6.7072189187663671</v>
      </c>
      <c r="J705" s="1">
        <f>[1]Other_transformation!F$38</f>
        <v>6.238205892286059</v>
      </c>
      <c r="K705" s="1">
        <f>[1]Other_transformation!G$38</f>
        <v>11.184865494034453</v>
      </c>
    </row>
    <row r="706" spans="2:11" x14ac:dyDescent="0.3">
      <c r="B706" s="9" t="str">
        <f t="shared" si="439"/>
        <v>SPS3</v>
      </c>
      <c r="C706" s="9" t="s">
        <v>7</v>
      </c>
      <c r="D706" s="2" t="s">
        <v>426</v>
      </c>
      <c r="E706" s="9" t="s">
        <v>8</v>
      </c>
      <c r="F706" s="14">
        <f t="shared" ref="F706:K706" si="447">F704/F705</f>
        <v>0.9126505487192591</v>
      </c>
      <c r="G706" s="14">
        <f t="shared" si="447"/>
        <v>0.91265054871925855</v>
      </c>
      <c r="H706" s="14">
        <f t="shared" si="447"/>
        <v>0.91265054871925688</v>
      </c>
      <c r="I706" s="14">
        <f t="shared" si="447"/>
        <v>0.9126505487192591</v>
      </c>
      <c r="J706" s="14">
        <f t="shared" si="447"/>
        <v>0.91265054871925888</v>
      </c>
      <c r="K706" s="14">
        <f t="shared" si="447"/>
        <v>0.91265054871925921</v>
      </c>
    </row>
    <row r="707" spans="2:11" x14ac:dyDescent="0.3">
      <c r="B707" s="9" t="str">
        <f t="shared" si="439"/>
        <v>SPS3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5.9796981202957431</v>
      </c>
      <c r="G707" s="17" cm="1">
        <f t="array" ref="G707">SUMPRODUCT(("CT_CWODPLT"=[1]OUT_SyntheticFuels!$C$4:$C$1000)*1,("Var_Fout"=[1]OUT_SyntheticFuels!$B$4:$B$1000)*1,[1]OUT_SyntheticFuels!F$4:F$1000)</f>
        <v>6.9696771801859221</v>
      </c>
      <c r="H707" s="17" cm="1">
        <f t="array" ref="H707">SUMPRODUCT(("CT_CWODPLT"=[1]OUT_SyntheticFuels!$C$4:$C$1000)*1,("Var_Fout"=[1]OUT_SyntheticFuels!$B$4:$B$1000)*1,[1]OUT_SyntheticFuels!G$4:G$1000)</f>
        <v>1.3646045100579673</v>
      </c>
      <c r="I707" s="17" cm="1">
        <f t="array" ref="I707">SUMPRODUCT(("CT_CWODPLT"=[1]OUT_SyntheticFuels!$C$4:$C$1000)*1,("Var_Fout"=[1]OUT_SyntheticFuels!$B$4:$B$1000)*1,[1]OUT_SyntheticFuels!H$4:H$1000)</f>
        <v>1.2876854627424095</v>
      </c>
      <c r="J707" s="17" cm="1">
        <f t="array" ref="J707">SUMPRODUCT(("CT_CWODPLT"=[1]OUT_SyntheticFuels!$C$4:$C$1000)*1,("Var_Fout"=[1]OUT_SyntheticFuels!$B$4:$B$1000)*1,[1]OUT_SyntheticFuels!I$4:I$1000)</f>
        <v>1.0507398302518964</v>
      </c>
      <c r="K707" s="17" cm="1">
        <f t="array" ref="K707">SUMPRODUCT(("CT_CWODPLT"=[1]OUT_SyntheticFuels!$C$4:$C$1000)*1,("Var_Fout"=[1]OUT_SyntheticFuels!$B$4:$B$1000)*1,[1]OUT_SyntheticFuels!J$4:J$1000)</f>
        <v>0.8470342191438035</v>
      </c>
    </row>
    <row r="708" spans="2:11" x14ac:dyDescent="0.3">
      <c r="B708" s="5" t="str">
        <f t="shared" si="439"/>
        <v>SPS3</v>
      </c>
      <c r="C708" s="5" t="str">
        <f>C707</f>
        <v>SPS1</v>
      </c>
      <c r="D708" t="s">
        <v>491</v>
      </c>
      <c r="E708" s="5" t="s">
        <v>8</v>
      </c>
      <c r="F708" s="18">
        <f>F707</f>
        <v>5.9796981202957431</v>
      </c>
      <c r="G708" s="18">
        <f t="shared" ref="G708:K708" si="448">G707</f>
        <v>6.9696771801859221</v>
      </c>
      <c r="H708" s="18">
        <f t="shared" si="448"/>
        <v>1.3646045100579673</v>
      </c>
      <c r="I708" s="18">
        <f t="shared" si="448"/>
        <v>1.2876854627424095</v>
      </c>
      <c r="J708" s="18">
        <f t="shared" si="448"/>
        <v>1.0507398302518964</v>
      </c>
      <c r="K708" s="18">
        <f t="shared" si="448"/>
        <v>0.8470342191438035</v>
      </c>
    </row>
    <row r="709" spans="2:11" x14ac:dyDescent="0.3">
      <c r="B709" s="9" t="str">
        <f t="shared" si="439"/>
        <v>SPS3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7.1186882384473176</v>
      </c>
      <c r="G709" s="17" cm="1">
        <f t="array" ref="G709">SUMPRODUCT(("CT_CWODPLT"=[1]OUT_SyntheticFuels!$C$4:$C$1000)*1,("Var_Fin"=[1]OUT_SyntheticFuels!$B$4:$B$1000)*1,[1]OUT_SyntheticFuels!F$4:F$1000)</f>
        <v>8.2972347383165772</v>
      </c>
      <c r="H709" s="17" cm="1">
        <f t="array" ref="H709">SUMPRODUCT(("CT_CWODPLT"=[1]OUT_SyntheticFuels!$C$4:$C$1000)*1,("Var_Fin"=[1]OUT_SyntheticFuels!$B$4:$B$1000)*1,[1]OUT_SyntheticFuels!G$4:G$1000)</f>
        <v>1.6245291786404388</v>
      </c>
      <c r="I709" s="17" cm="1">
        <f t="array" ref="I709">SUMPRODUCT(("CT_CWODPLT"=[1]OUT_SyntheticFuels!$C$4:$C$1000)*1,("Var_Fin"=[1]OUT_SyntheticFuels!$B$4:$B$1000)*1,[1]OUT_SyntheticFuels!H$4:H$1000)</f>
        <v>1.5329588842171544</v>
      </c>
      <c r="J709" s="17" cm="1">
        <f t="array" ref="J709">SUMPRODUCT(("CT_CWODPLT"=[1]OUT_SyntheticFuels!$C$4:$C$1000)*1,("Var_Fin"=[1]OUT_SyntheticFuels!$B$4:$B$1000)*1,[1]OUT_SyntheticFuels!I$4:I$1000)</f>
        <v>1.2508807502998773</v>
      </c>
      <c r="K709" s="17" cm="1">
        <f t="array" ref="K709">SUMPRODUCT(("CT_CWODPLT"=[1]OUT_SyntheticFuels!$C$4:$C$1000)*1,("Var_Fin"=[1]OUT_SyntheticFuels!$B$4:$B$1000)*1,[1]OUT_SyntheticFuels!J$4:J$1000)</f>
        <v>1.0083740704092901</v>
      </c>
    </row>
    <row r="710" spans="2:11" x14ac:dyDescent="0.3">
      <c r="B710" s="5" t="str">
        <f t="shared" si="439"/>
        <v>SPS3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49">F709</f>
        <v>7.1186882384473176</v>
      </c>
      <c r="G710" s="18">
        <f t="shared" si="449"/>
        <v>8.2972347383165772</v>
      </c>
      <c r="H710" s="18">
        <f t="shared" si="449"/>
        <v>1.6245291786404388</v>
      </c>
      <c r="I710" s="18">
        <f t="shared" si="449"/>
        <v>1.5329588842171544</v>
      </c>
      <c r="J710" s="18">
        <f t="shared" si="449"/>
        <v>1.2508807502998773</v>
      </c>
      <c r="K710" s="18">
        <f t="shared" si="449"/>
        <v>1.0083740704092901</v>
      </c>
    </row>
    <row r="711" spans="2:11" x14ac:dyDescent="0.3">
      <c r="B711" s="9" t="str">
        <f t="shared" si="439"/>
        <v>SPS3</v>
      </c>
      <c r="C711" s="9" t="s">
        <v>6</v>
      </c>
      <c r="D711" s="2" t="s">
        <v>476</v>
      </c>
      <c r="E711" s="9" t="s">
        <v>240</v>
      </c>
      <c r="F711" s="14">
        <f t="shared" ref="F711:K711" si="450">IFERROR(F707/F709,"-")</f>
        <v>0.83999999999999952</v>
      </c>
      <c r="G711" s="14">
        <f t="shared" si="450"/>
        <v>0.83999999999999964</v>
      </c>
      <c r="H711" s="14">
        <f t="shared" si="450"/>
        <v>0.83999999999999919</v>
      </c>
      <c r="I711" s="14">
        <f t="shared" si="450"/>
        <v>0.83999999999999986</v>
      </c>
      <c r="J711" s="14">
        <f t="shared" si="450"/>
        <v>0.83999999999999964</v>
      </c>
      <c r="K711" s="14">
        <f t="shared" si="450"/>
        <v>0.83999999999999986</v>
      </c>
    </row>
    <row r="712" spans="2:11" x14ac:dyDescent="0.3">
      <c r="B712" s="9" t="str">
        <f t="shared" si="439"/>
        <v>SPS3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51">G713+G715</f>
        <v>0</v>
      </c>
      <c r="H712" s="17">
        <f t="shared" si="451"/>
        <v>0</v>
      </c>
      <c r="I712" s="17">
        <f t="shared" si="451"/>
        <v>0</v>
      </c>
      <c r="J712" s="17">
        <f t="shared" si="451"/>
        <v>11.971893221028887</v>
      </c>
      <c r="K712" s="17">
        <f t="shared" si="451"/>
        <v>7.6858411063359124</v>
      </c>
    </row>
    <row r="713" spans="2:11" x14ac:dyDescent="0.3">
      <c r="B713" s="5" t="str">
        <f t="shared" si="439"/>
        <v>SPS3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52">G714</f>
        <v>0</v>
      </c>
      <c r="H713" s="18">
        <f t="shared" si="452"/>
        <v>0</v>
      </c>
      <c r="I713" s="18">
        <f t="shared" si="452"/>
        <v>0</v>
      </c>
      <c r="J713" s="18">
        <f t="shared" si="452"/>
        <v>5.8203533631223513E-2</v>
      </c>
      <c r="K713" s="18">
        <f t="shared" si="452"/>
        <v>4.7934625088434039E-2</v>
      </c>
    </row>
    <row r="714" spans="2:11" x14ac:dyDescent="0.3">
      <c r="B714" s="5" t="str">
        <f t="shared" si="439"/>
        <v>SPS3</v>
      </c>
      <c r="C714" s="5" t="str">
        <f t="shared" ref="C714:C716" si="453">C712</f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5.8203533631223513E-2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4.7934625088434039E-2</v>
      </c>
    </row>
    <row r="715" spans="2:11" x14ac:dyDescent="0.3">
      <c r="B715" s="5" t="str">
        <f t="shared" si="439"/>
        <v>SPS3</v>
      </c>
      <c r="C715" s="5" t="str">
        <f t="shared" si="453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54">SUM(G716:G718)</f>
        <v>0</v>
      </c>
      <c r="H715" s="18">
        <f t="shared" si="454"/>
        <v>0</v>
      </c>
      <c r="I715" s="18">
        <f t="shared" si="454"/>
        <v>0</v>
      </c>
      <c r="J715" s="18">
        <f t="shared" si="454"/>
        <v>11.913689687397664</v>
      </c>
      <c r="K715" s="18">
        <f t="shared" si="454"/>
        <v>7.6379064812474784</v>
      </c>
    </row>
    <row r="716" spans="2:11" x14ac:dyDescent="0.3">
      <c r="B716" s="5" t="str">
        <f t="shared" si="439"/>
        <v>SPS3</v>
      </c>
      <c r="C716" s="5" t="str">
        <f t="shared" si="453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1.1475513907678934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6.6075819582927418</v>
      </c>
    </row>
    <row r="717" spans="2:11" x14ac:dyDescent="0.3">
      <c r="B717" s="5" t="str">
        <f t="shared" si="439"/>
        <v>SPS3</v>
      </c>
      <c r="C717" s="5" t="str">
        <f t="shared" ref="C717:C719" si="455">C716</f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10.42637347381768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1.0303234312821401</v>
      </c>
    </row>
    <row r="718" spans="2:11" x14ac:dyDescent="0.3">
      <c r="B718" s="5" t="str">
        <f t="shared" si="439"/>
        <v>SPS3</v>
      </c>
      <c r="C718" s="5" t="str">
        <f t="shared" si="455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0.33976482281209092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1.0916725963871694E-6</v>
      </c>
    </row>
    <row r="719" spans="2:11" x14ac:dyDescent="0.3">
      <c r="B719" s="9" t="str">
        <f t="shared" si="439"/>
        <v>SPS3</v>
      </c>
      <c r="C719" s="9" t="str">
        <f t="shared" si="455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56">G720</f>
        <v>0</v>
      </c>
      <c r="H719" s="17">
        <f t="shared" si="456"/>
        <v>0</v>
      </c>
      <c r="I719" s="17">
        <f t="shared" si="456"/>
        <v>0</v>
      </c>
      <c r="J719" s="17">
        <f t="shared" si="456"/>
        <v>17.534746552302693</v>
      </c>
      <c r="K719" s="17">
        <f t="shared" si="456"/>
        <v>12.926528767411879</v>
      </c>
    </row>
    <row r="720" spans="2:11" x14ac:dyDescent="0.3">
      <c r="B720" s="5" t="str">
        <f t="shared" si="439"/>
        <v>SPS3</v>
      </c>
      <c r="C720" s="5" t="str">
        <f t="shared" ref="C720:C726" si="457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58">SUM(G721,G723)</f>
        <v>0</v>
      </c>
      <c r="H720" s="18">
        <f t="shared" si="458"/>
        <v>0</v>
      </c>
      <c r="I720" s="18">
        <f t="shared" si="458"/>
        <v>0</v>
      </c>
      <c r="J720" s="18">
        <f t="shared" si="458"/>
        <v>17.534746552302693</v>
      </c>
      <c r="K720" s="18">
        <f t="shared" si="458"/>
        <v>12.926528767411879</v>
      </c>
    </row>
    <row r="721" spans="2:13" x14ac:dyDescent="0.3">
      <c r="B721" s="5" t="str">
        <f t="shared" si="439"/>
        <v>SPS3</v>
      </c>
      <c r="C721" s="5" t="str">
        <f t="shared" si="457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59">G722</f>
        <v>0</v>
      </c>
      <c r="H721" s="18">
        <f t="shared" si="459"/>
        <v>0</v>
      </c>
      <c r="I721" s="18">
        <f t="shared" si="459"/>
        <v>0</v>
      </c>
      <c r="J721" s="18">
        <f t="shared" si="459"/>
        <v>7.5589004715874764E-2</v>
      </c>
      <c r="K721" s="18">
        <f t="shared" si="459"/>
        <v>6.2252759855109197E-2</v>
      </c>
    </row>
    <row r="722" spans="2:13" x14ac:dyDescent="0.3">
      <c r="B722" s="5" t="str">
        <f t="shared" si="439"/>
        <v>SPS3</v>
      </c>
      <c r="C722" s="5" t="str">
        <f t="shared" si="457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7.5589004715874764E-2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6.2252759855109197E-2</v>
      </c>
    </row>
    <row r="723" spans="2:13" x14ac:dyDescent="0.3">
      <c r="B723" s="5" t="str">
        <f t="shared" si="439"/>
        <v>SPS3</v>
      </c>
      <c r="C723" s="5" t="str">
        <f t="shared" si="457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60">SUM(G724:G726)</f>
        <v>0</v>
      </c>
      <c r="H723" s="18">
        <f t="shared" si="460"/>
        <v>0</v>
      </c>
      <c r="I723" s="18">
        <f t="shared" si="460"/>
        <v>0</v>
      </c>
      <c r="J723" s="18">
        <f t="shared" si="460"/>
        <v>17.459157547586816</v>
      </c>
      <c r="K723" s="18">
        <f t="shared" si="460"/>
        <v>12.86427600755677</v>
      </c>
    </row>
    <row r="724" spans="2:13" x14ac:dyDescent="0.3">
      <c r="B724" s="5" t="str">
        <f t="shared" si="439"/>
        <v>SPS3</v>
      </c>
      <c r="C724" s="5" t="str">
        <f t="shared" si="457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1.97853688063429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11.392383509245157</v>
      </c>
    </row>
    <row r="725" spans="2:13" x14ac:dyDescent="0.3">
      <c r="B725" s="5" t="str">
        <f t="shared" si="439"/>
        <v>SPS3</v>
      </c>
      <c r="C725" s="5" t="str">
        <f t="shared" si="457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14.894819248310991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1.4718906161173437</v>
      </c>
    </row>
    <row r="726" spans="2:13" x14ac:dyDescent="0.3">
      <c r="B726" s="5" t="str">
        <f t="shared" si="439"/>
        <v>SPS3</v>
      </c>
      <c r="C726" s="5" t="str">
        <f t="shared" si="457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0.58580141864153346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1.8821942688873605E-6</v>
      </c>
    </row>
    <row r="727" spans="2:13" x14ac:dyDescent="0.3">
      <c r="B727" s="9" t="str">
        <f t="shared" si="439"/>
        <v>SPS3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3">
      <c r="B728" s="5" t="str">
        <f t="shared" si="439"/>
        <v>SPS3</v>
      </c>
      <c r="C728" s="5" t="str">
        <f t="shared" ref="C728:C733" si="46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62">IFERROR(G714/G722,"-")</f>
        <v>-</v>
      </c>
      <c r="H728" s="14" t="str">
        <f t="shared" si="462"/>
        <v>-</v>
      </c>
      <c r="I728" s="14" t="str">
        <f t="shared" si="462"/>
        <v>-</v>
      </c>
      <c r="J728" s="14">
        <f t="shared" si="462"/>
        <v>0.76999999999999924</v>
      </c>
      <c r="K728" s="14">
        <f t="shared" si="462"/>
        <v>0.76999999999999935</v>
      </c>
    </row>
    <row r="729" spans="2:13" x14ac:dyDescent="0.3">
      <c r="B729" s="5" t="str">
        <f t="shared" si="439"/>
        <v>SPS3</v>
      </c>
      <c r="C729" s="5" t="str">
        <f t="shared" si="46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63">IFERROR(G716/G724,"-")</f>
        <v>-</v>
      </c>
      <c r="H729" s="16" t="str">
        <f t="shared" si="463"/>
        <v>-</v>
      </c>
      <c r="I729" s="16" t="str">
        <f t="shared" si="463"/>
        <v>-</v>
      </c>
      <c r="J729" s="16">
        <f t="shared" si="463"/>
        <v>0.58000000000000262</v>
      </c>
      <c r="K729" s="16">
        <f t="shared" si="463"/>
        <v>0.57999995812382465</v>
      </c>
      <c r="L729" s="9"/>
      <c r="M729" s="9"/>
    </row>
    <row r="730" spans="2:13" x14ac:dyDescent="0.3">
      <c r="B730" s="5" t="str">
        <f t="shared" si="439"/>
        <v>SPS3</v>
      </c>
      <c r="C730" s="5" t="str">
        <f t="shared" si="46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64">IFERROR(G717/G725,"-")</f>
        <v>-</v>
      </c>
      <c r="H730" s="16" t="str">
        <f t="shared" si="464"/>
        <v>-</v>
      </c>
      <c r="I730" s="16" t="str">
        <f t="shared" si="464"/>
        <v>-</v>
      </c>
      <c r="J730" s="16">
        <f t="shared" si="464"/>
        <v>0.69999999999999907</v>
      </c>
      <c r="K730" s="16">
        <f t="shared" si="464"/>
        <v>0.69999999999999962</v>
      </c>
      <c r="L730" s="9"/>
      <c r="M730" s="9"/>
    </row>
    <row r="731" spans="2:13" x14ac:dyDescent="0.3">
      <c r="B731" s="5" t="str">
        <f t="shared" si="439"/>
        <v>SPS3</v>
      </c>
      <c r="C731" s="5" t="str">
        <f t="shared" si="46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65">IFERROR(G718/G726,"-")</f>
        <v>-</v>
      </c>
      <c r="H731" s="16" t="str">
        <f t="shared" si="465"/>
        <v>-</v>
      </c>
      <c r="I731" s="16" t="str">
        <f t="shared" si="465"/>
        <v>-</v>
      </c>
      <c r="J731" s="16">
        <f t="shared" si="465"/>
        <v>0.58000000000000262</v>
      </c>
      <c r="K731" s="16">
        <f t="shared" si="465"/>
        <v>0.57999995772620239</v>
      </c>
      <c r="L731" s="9"/>
      <c r="M731" s="9"/>
    </row>
    <row r="732" spans="2:13" x14ac:dyDescent="0.3">
      <c r="B732" s="5" t="str">
        <f t="shared" si="439"/>
        <v>SPS3</v>
      </c>
      <c r="C732" s="5" t="str">
        <f t="shared" si="46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66">G733</f>
        <v>0</v>
      </c>
      <c r="H732" s="17">
        <f t="shared" ref="H732" si="467">H733</f>
        <v>0</v>
      </c>
      <c r="I732" s="17">
        <f t="shared" ref="I732" si="468">I733</f>
        <v>0</v>
      </c>
      <c r="J732" s="17">
        <f t="shared" ref="J732" si="469">J733</f>
        <v>0.88176932011995812</v>
      </c>
      <c r="K732" s="17">
        <f t="shared" ref="K732" si="470">K733</f>
        <v>0.56307725461526603</v>
      </c>
      <c r="L732" s="9"/>
      <c r="M732" s="9"/>
    </row>
    <row r="733" spans="2:13" x14ac:dyDescent="0.3">
      <c r="B733" s="5" t="str">
        <f t="shared" si="439"/>
        <v>SPS3</v>
      </c>
      <c r="C733" s="5" t="str">
        <f t="shared" si="46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71">SUM(G737,G739)</f>
        <v>0</v>
      </c>
      <c r="H733" s="18">
        <f t="shared" ref="H733" si="472">SUM(H737,H739)</f>
        <v>0</v>
      </c>
      <c r="I733" s="18">
        <f t="shared" ref="I733" si="473">SUM(I737,I739)</f>
        <v>0</v>
      </c>
      <c r="J733" s="18">
        <f t="shared" ref="J733" si="474">SUM(J737,J739)</f>
        <v>0.88176932011995812</v>
      </c>
      <c r="K733" s="18">
        <f t="shared" ref="K733" si="475">SUM(K737,K739)</f>
        <v>0.56307725461526603</v>
      </c>
      <c r="L733" s="9"/>
      <c r="M733" s="9"/>
    </row>
    <row r="734" spans="2:13" x14ac:dyDescent="0.3">
      <c r="B734" s="5" t="str">
        <f t="shared" si="439"/>
        <v>SPS3</v>
      </c>
      <c r="C734" s="5" t="str">
        <f t="shared" ref="C734:C736" si="476">C733</f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0.20945182496268089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0.39114091794678929</v>
      </c>
      <c r="L734" s="9"/>
      <c r="M734" s="9"/>
    </row>
    <row r="735" spans="2:13" x14ac:dyDescent="0.3">
      <c r="B735" s="5" t="str">
        <f t="shared" si="439"/>
        <v>SPS3</v>
      </c>
      <c r="C735" s="5" t="str">
        <f t="shared" si="476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0.67230411684068525</v>
      </c>
      <c r="K735" s="18">
        <f>K733-K734-K736</f>
        <v>0.17190490971940114</v>
      </c>
      <c r="L735" s="9"/>
      <c r="M735" s="9"/>
    </row>
    <row r="736" spans="2:13" x14ac:dyDescent="0.3">
      <c r="B736" s="5" t="str">
        <f t="shared" si="439"/>
        <v>SPS3</v>
      </c>
      <c r="C736" s="5" t="str">
        <f t="shared" si="476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1.3378316591967204E-5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3.1426949075588241E-5</v>
      </c>
      <c r="L736" s="9"/>
    </row>
    <row r="737" spans="2:13" x14ac:dyDescent="0.3">
      <c r="B737" s="5" t="str">
        <f t="shared" si="439"/>
        <v>SPS3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77">G738</f>
        <v>0</v>
      </c>
      <c r="H737" s="18">
        <f t="shared" ref="H737" si="478">H738</f>
        <v>0</v>
      </c>
      <c r="I737" s="18">
        <f t="shared" ref="I737" si="479">I738</f>
        <v>0</v>
      </c>
      <c r="J737" s="18">
        <f t="shared" ref="J737" si="480">J738</f>
        <v>3.2826792968010041E-3</v>
      </c>
      <c r="K737" s="18">
        <f t="shared" ref="K737" si="481">K738</f>
        <v>2.7035128549876839E-3</v>
      </c>
      <c r="L737" s="9"/>
    </row>
    <row r="738" spans="2:13" x14ac:dyDescent="0.3">
      <c r="B738" s="5" t="str">
        <f t="shared" si="439"/>
        <v>SPS3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3.2826792968010041E-3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2.7035128549876839E-3</v>
      </c>
      <c r="L738" s="9"/>
    </row>
    <row r="739" spans="2:13" x14ac:dyDescent="0.3">
      <c r="B739" s="5" t="str">
        <f t="shared" si="439"/>
        <v>SPS3</v>
      </c>
      <c r="C739" s="5" t="str">
        <f t="shared" ref="C739:C742" si="482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83">SUM(G740:G742)</f>
        <v>0</v>
      </c>
      <c r="H739" s="18">
        <f t="shared" ref="H739" si="484">SUM(H740:H742)</f>
        <v>0</v>
      </c>
      <c r="I739" s="18">
        <f t="shared" ref="I739" si="485">SUM(I740:I742)</f>
        <v>0</v>
      </c>
      <c r="J739" s="18">
        <f t="shared" ref="J739" si="486">SUM(J740:J742)</f>
        <v>0.87848664082315708</v>
      </c>
      <c r="K739" s="18">
        <f t="shared" ref="K739" si="487">SUM(K740:K742)</f>
        <v>0.56037374176027832</v>
      </c>
      <c r="L739" s="9"/>
    </row>
    <row r="740" spans="2:13" x14ac:dyDescent="0.3">
      <c r="B740" s="5" t="str">
        <f t="shared" si="439"/>
        <v>SPS3</v>
      </c>
      <c r="C740" s="5" t="str">
        <f t="shared" si="482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8.4115516943286298E-2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0.48433579251204933</v>
      </c>
      <c r="L740" s="9"/>
    </row>
    <row r="741" spans="2:13" x14ac:dyDescent="0.3">
      <c r="B741" s="5" t="str">
        <f t="shared" si="439"/>
        <v>SPS3</v>
      </c>
      <c r="C741" s="5" t="str">
        <f t="shared" si="482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0.76946636236774457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7.6037869228621893E-2</v>
      </c>
      <c r="L741" s="9"/>
      <c r="M741" s="9"/>
    </row>
    <row r="742" spans="2:13" x14ac:dyDescent="0.3">
      <c r="B742" s="5" t="str">
        <f t="shared" si="439"/>
        <v>SPS3</v>
      </c>
      <c r="C742" s="5" t="str">
        <f t="shared" si="482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2.4904761512126172E-2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8.0019607107129076E-8</v>
      </c>
      <c r="L742" s="9"/>
      <c r="M742" s="9"/>
    </row>
    <row r="743" spans="2:13" x14ac:dyDescent="0.3">
      <c r="B743" s="5" t="str">
        <f t="shared" si="439"/>
        <v>SPS3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488">IFERROR(G$734/G$733,0)*G737</f>
        <v>0</v>
      </c>
      <c r="H743" s="18">
        <f t="shared" si="488"/>
        <v>0</v>
      </c>
      <c r="I743" s="18">
        <f t="shared" si="488"/>
        <v>0</v>
      </c>
      <c r="J743" s="18">
        <f t="shared" si="488"/>
        <v>7.7975401705816035E-4</v>
      </c>
      <c r="K743" s="18">
        <f t="shared" si="488"/>
        <v>1.8779918583345281E-3</v>
      </c>
    </row>
    <row r="744" spans="2:13" x14ac:dyDescent="0.3">
      <c r="B744" s="5" t="str">
        <f t="shared" si="439"/>
        <v>SPS3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489">IFERROR(F$734/F$733,0)*F738</f>
        <v>0</v>
      </c>
      <c r="G744" s="18">
        <f t="shared" si="489"/>
        <v>0</v>
      </c>
      <c r="H744" s="18">
        <f t="shared" si="489"/>
        <v>0</v>
      </c>
      <c r="I744" s="18">
        <f t="shared" si="489"/>
        <v>0</v>
      </c>
      <c r="J744" s="18">
        <f t="shared" si="489"/>
        <v>7.7975401705816035E-4</v>
      </c>
      <c r="K744" s="18">
        <f t="shared" si="489"/>
        <v>1.8779918583345281E-3</v>
      </c>
    </row>
    <row r="745" spans="2:13" x14ac:dyDescent="0.3">
      <c r="B745" s="5" t="str">
        <f t="shared" si="439"/>
        <v>SPS3</v>
      </c>
      <c r="C745" s="5" t="str">
        <f t="shared" ref="C745:C748" si="490">C744</f>
        <v>CH</v>
      </c>
      <c r="D745" t="s">
        <v>935</v>
      </c>
      <c r="E745" s="5" t="s">
        <v>442</v>
      </c>
      <c r="F745" s="18">
        <f t="shared" ref="F745:K745" si="491">IFERROR(F$734/F$733,0)*F739</f>
        <v>0</v>
      </c>
      <c r="G745" s="18">
        <f t="shared" si="491"/>
        <v>0</v>
      </c>
      <c r="H745" s="18">
        <f t="shared" si="491"/>
        <v>0</v>
      </c>
      <c r="I745" s="18">
        <f t="shared" si="491"/>
        <v>0</v>
      </c>
      <c r="J745" s="18">
        <f t="shared" si="491"/>
        <v>0.20867207094562273</v>
      </c>
      <c r="K745" s="18">
        <f t="shared" si="491"/>
        <v>0.3892629260884547</v>
      </c>
    </row>
    <row r="746" spans="2:13" x14ac:dyDescent="0.3">
      <c r="B746" s="5" t="str">
        <f t="shared" si="439"/>
        <v>SPS3</v>
      </c>
      <c r="C746" s="5" t="str">
        <f t="shared" si="490"/>
        <v>CH</v>
      </c>
      <c r="D746" t="s">
        <v>457</v>
      </c>
      <c r="E746" s="5" t="s">
        <v>442</v>
      </c>
      <c r="F746" s="18">
        <f t="shared" ref="F746:K746" si="492">IFERROR(F$734/F$733,0)*F740</f>
        <v>0</v>
      </c>
      <c r="G746" s="18">
        <f t="shared" si="492"/>
        <v>0</v>
      </c>
      <c r="H746" s="18">
        <f t="shared" si="492"/>
        <v>0</v>
      </c>
      <c r="I746" s="18">
        <f t="shared" si="492"/>
        <v>0</v>
      </c>
      <c r="J746" s="18">
        <f t="shared" si="492"/>
        <v>1.9980450815700646E-2</v>
      </c>
      <c r="K746" s="18">
        <f t="shared" si="492"/>
        <v>0.33644325876222758</v>
      </c>
    </row>
    <row r="747" spans="2:13" x14ac:dyDescent="0.3">
      <c r="B747" s="5" t="str">
        <f t="shared" si="439"/>
        <v>SPS3</v>
      </c>
      <c r="C747" s="5" t="str">
        <f t="shared" si="490"/>
        <v>CH</v>
      </c>
      <c r="D747" t="s">
        <v>458</v>
      </c>
      <c r="E747" s="5" t="s">
        <v>442</v>
      </c>
      <c r="F747" s="18">
        <f t="shared" ref="F747:K747" si="493">IFERROR(F$734/F$733,0)*F741</f>
        <v>0</v>
      </c>
      <c r="G747" s="18">
        <f t="shared" si="493"/>
        <v>0</v>
      </c>
      <c r="H747" s="18">
        <f t="shared" si="493"/>
        <v>0</v>
      </c>
      <c r="I747" s="18">
        <f t="shared" si="493"/>
        <v>0</v>
      </c>
      <c r="J747" s="18">
        <f t="shared" si="493"/>
        <v>0.1827758464349771</v>
      </c>
      <c r="K747" s="18">
        <f t="shared" si="493"/>
        <v>5.2819611740706145E-2</v>
      </c>
    </row>
    <row r="748" spans="2:13" x14ac:dyDescent="0.3">
      <c r="B748" s="5" t="str">
        <f t="shared" si="439"/>
        <v>SPS3</v>
      </c>
      <c r="C748" s="5" t="str">
        <f t="shared" si="490"/>
        <v>CH</v>
      </c>
      <c r="D748" t="s">
        <v>459</v>
      </c>
      <c r="E748" s="5" t="s">
        <v>442</v>
      </c>
      <c r="F748" s="18">
        <f t="shared" ref="F748:K748" si="494">IFERROR(F$734/F$733,0)*F742</f>
        <v>0</v>
      </c>
      <c r="G748" s="18">
        <f t="shared" si="494"/>
        <v>0</v>
      </c>
      <c r="H748" s="18">
        <f t="shared" si="494"/>
        <v>0</v>
      </c>
      <c r="I748" s="18">
        <f t="shared" si="494"/>
        <v>0</v>
      </c>
      <c r="J748" s="18">
        <f t="shared" si="494"/>
        <v>5.9157736949449749E-3</v>
      </c>
      <c r="K748" s="18">
        <f t="shared" si="494"/>
        <v>5.5585521029453634E-8</v>
      </c>
    </row>
    <row r="749" spans="2:13" x14ac:dyDescent="0.3">
      <c r="B749" s="5" t="str">
        <f t="shared" si="439"/>
        <v>SPS3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495">IFERROR(G$735/G$733,0)*G737</f>
        <v>0</v>
      </c>
      <c r="H749" s="18">
        <f t="shared" si="495"/>
        <v>0</v>
      </c>
      <c r="I749" s="18">
        <f t="shared" si="495"/>
        <v>0</v>
      </c>
      <c r="J749" s="18">
        <f t="shared" si="495"/>
        <v>2.5028754745138565E-3</v>
      </c>
      <c r="K749" s="18">
        <f t="shared" si="495"/>
        <v>8.2537010588262197E-4</v>
      </c>
    </row>
    <row r="750" spans="2:13" x14ac:dyDescent="0.3">
      <c r="B750" s="5" t="str">
        <f t="shared" si="439"/>
        <v>SPS3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496">IFERROR(F$735/F$733,0)*F738</f>
        <v>0</v>
      </c>
      <c r="G750" s="18">
        <f t="shared" si="496"/>
        <v>0</v>
      </c>
      <c r="H750" s="18">
        <f t="shared" si="496"/>
        <v>0</v>
      </c>
      <c r="I750" s="18">
        <f t="shared" si="496"/>
        <v>0</v>
      </c>
      <c r="J750" s="18">
        <f t="shared" si="496"/>
        <v>2.5028754745138565E-3</v>
      </c>
      <c r="K750" s="18">
        <f t="shared" si="496"/>
        <v>8.2537010588262197E-4</v>
      </c>
    </row>
    <row r="751" spans="2:13" x14ac:dyDescent="0.3">
      <c r="B751" s="5" t="str">
        <f t="shared" si="439"/>
        <v>SPS3</v>
      </c>
      <c r="C751" s="5" t="str">
        <f t="shared" ref="C751:C754" si="497">C750</f>
        <v>CH</v>
      </c>
      <c r="D751" t="s">
        <v>937</v>
      </c>
      <c r="E751" s="5" t="s">
        <v>442</v>
      </c>
      <c r="F751" s="18">
        <f t="shared" ref="F751:K751" si="498">IFERROR(F$735/F$733,0)*F739</f>
        <v>0</v>
      </c>
      <c r="G751" s="18">
        <f t="shared" si="498"/>
        <v>0</v>
      </c>
      <c r="H751" s="18">
        <f t="shared" si="498"/>
        <v>0</v>
      </c>
      <c r="I751" s="18">
        <f t="shared" si="498"/>
        <v>0</v>
      </c>
      <c r="J751" s="18">
        <f t="shared" si="498"/>
        <v>0.66980124136617136</v>
      </c>
      <c r="K751" s="18">
        <f t="shared" si="498"/>
        <v>0.17107953961351852</v>
      </c>
    </row>
    <row r="752" spans="2:13" x14ac:dyDescent="0.3">
      <c r="B752" s="5" t="str">
        <f t="shared" si="439"/>
        <v>SPS3</v>
      </c>
      <c r="C752" s="5" t="str">
        <f t="shared" si="497"/>
        <v>CH</v>
      </c>
      <c r="D752" t="s">
        <v>461</v>
      </c>
      <c r="E752" s="5" t="s">
        <v>442</v>
      </c>
      <c r="F752" s="18">
        <f t="shared" ref="F752:K752" si="499">IFERROR(F$735/F$733,0)*F740</f>
        <v>0</v>
      </c>
      <c r="G752" s="18">
        <f t="shared" si="499"/>
        <v>0</v>
      </c>
      <c r="H752" s="18">
        <f t="shared" si="499"/>
        <v>0</v>
      </c>
      <c r="I752" s="18">
        <f t="shared" si="499"/>
        <v>0</v>
      </c>
      <c r="J752" s="18">
        <f t="shared" si="499"/>
        <v>6.4133789916233905E-2</v>
      </c>
      <c r="K752" s="18">
        <f t="shared" si="499"/>
        <v>0.14786550158654044</v>
      </c>
    </row>
    <row r="753" spans="2:13" x14ac:dyDescent="0.3">
      <c r="B753" s="5" t="str">
        <f t="shared" si="439"/>
        <v>SPS3</v>
      </c>
      <c r="C753" s="5" t="str">
        <f t="shared" si="497"/>
        <v>CH</v>
      </c>
      <c r="D753" t="s">
        <v>462</v>
      </c>
      <c r="E753" s="5" t="s">
        <v>442</v>
      </c>
      <c r="F753" s="18">
        <f t="shared" ref="F753:K753" si="500">IFERROR(F$735/F$733,0)*F741</f>
        <v>0</v>
      </c>
      <c r="G753" s="18">
        <f t="shared" si="500"/>
        <v>0</v>
      </c>
      <c r="H753" s="18">
        <f t="shared" si="500"/>
        <v>0</v>
      </c>
      <c r="I753" s="18">
        <f t="shared" si="500"/>
        <v>0</v>
      </c>
      <c r="J753" s="18">
        <f t="shared" si="500"/>
        <v>0.58667884149097449</v>
      </c>
      <c r="K753" s="18">
        <f t="shared" si="500"/>
        <v>2.3214013597358141E-2</v>
      </c>
    </row>
    <row r="754" spans="2:13" x14ac:dyDescent="0.3">
      <c r="B754" s="5" t="str">
        <f t="shared" si="439"/>
        <v>SPS3</v>
      </c>
      <c r="C754" s="5" t="str">
        <f t="shared" si="497"/>
        <v>CH</v>
      </c>
      <c r="D754" t="s">
        <v>463</v>
      </c>
      <c r="E754" s="5" t="s">
        <v>442</v>
      </c>
      <c r="F754" s="18">
        <f t="shared" ref="F754:K754" si="501">IFERROR(F$735/F$733,0)*F742</f>
        <v>0</v>
      </c>
      <c r="G754" s="18">
        <f t="shared" si="501"/>
        <v>0</v>
      </c>
      <c r="H754" s="18">
        <f t="shared" si="501"/>
        <v>0</v>
      </c>
      <c r="I754" s="18">
        <f t="shared" si="501"/>
        <v>0</v>
      </c>
      <c r="J754" s="18">
        <f t="shared" si="501"/>
        <v>1.8988609958963006E-2</v>
      </c>
      <c r="K754" s="18">
        <f t="shared" si="501"/>
        <v>2.4429619954959608E-8</v>
      </c>
    </row>
    <row r="755" spans="2:13" x14ac:dyDescent="0.3">
      <c r="B755" s="5" t="str">
        <f t="shared" si="439"/>
        <v>SPS3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02">IFERROR(G$736/G$733,0)*G737</f>
        <v>0</v>
      </c>
      <c r="H755" s="18">
        <f t="shared" si="502"/>
        <v>0</v>
      </c>
      <c r="I755" s="18">
        <f t="shared" si="502"/>
        <v>0</v>
      </c>
      <c r="J755" s="18">
        <f t="shared" si="502"/>
        <v>4.9805228987243014E-8</v>
      </c>
      <c r="K755" s="18">
        <f t="shared" si="502"/>
        <v>1.5089077053369689E-7</v>
      </c>
    </row>
    <row r="756" spans="2:13" x14ac:dyDescent="0.3">
      <c r="B756" s="5" t="str">
        <f t="shared" ref="B756:B819" si="503">B755</f>
        <v>SPS3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04">IFERROR(F$736/F$733,0)*F738</f>
        <v>0</v>
      </c>
      <c r="G756" s="18">
        <f t="shared" si="504"/>
        <v>0</v>
      </c>
      <c r="H756" s="18">
        <f t="shared" si="504"/>
        <v>0</v>
      </c>
      <c r="I756" s="18">
        <f t="shared" si="504"/>
        <v>0</v>
      </c>
      <c r="J756" s="18">
        <f t="shared" si="504"/>
        <v>4.9805228987243014E-8</v>
      </c>
      <c r="K756" s="18">
        <f t="shared" si="504"/>
        <v>1.5089077053369689E-7</v>
      </c>
    </row>
    <row r="757" spans="2:13" x14ac:dyDescent="0.3">
      <c r="B757" s="5" t="str">
        <f t="shared" si="503"/>
        <v>SPS3</v>
      </c>
      <c r="C757" s="5" t="str">
        <f t="shared" ref="C757:C760" si="505">C756</f>
        <v>CH</v>
      </c>
      <c r="D757" t="s">
        <v>939</v>
      </c>
      <c r="E757" s="5" t="s">
        <v>442</v>
      </c>
      <c r="F757" s="18">
        <f t="shared" ref="F757:K757" si="506">IFERROR(F$736/F$733,0)*F739</f>
        <v>0</v>
      </c>
      <c r="G757" s="18">
        <f t="shared" si="506"/>
        <v>0</v>
      </c>
      <c r="H757" s="18">
        <f t="shared" si="506"/>
        <v>0</v>
      </c>
      <c r="I757" s="18">
        <f t="shared" si="506"/>
        <v>0</v>
      </c>
      <c r="J757" s="18">
        <f t="shared" si="506"/>
        <v>1.332851136297996E-5</v>
      </c>
      <c r="K757" s="18">
        <f t="shared" si="506"/>
        <v>3.1276058305054541E-5</v>
      </c>
    </row>
    <row r="758" spans="2:13" x14ac:dyDescent="0.3">
      <c r="B758" s="5" t="str">
        <f t="shared" si="503"/>
        <v>SPS3</v>
      </c>
      <c r="C758" s="5" t="str">
        <f t="shared" si="505"/>
        <v>CH</v>
      </c>
      <c r="D758" t="s">
        <v>465</v>
      </c>
      <c r="E758" s="5" t="s">
        <v>442</v>
      </c>
      <c r="F758" s="18">
        <f t="shared" ref="F758:K758" si="507">IFERROR(F$736/F$733,0)*F740</f>
        <v>0</v>
      </c>
      <c r="G758" s="18">
        <f t="shared" si="507"/>
        <v>0</v>
      </c>
      <c r="H758" s="18">
        <f t="shared" si="507"/>
        <v>0</v>
      </c>
      <c r="I758" s="18">
        <f t="shared" si="507"/>
        <v>0</v>
      </c>
      <c r="J758" s="18">
        <f t="shared" si="507"/>
        <v>1.2762113517526031E-6</v>
      </c>
      <c r="K758" s="18">
        <f t="shared" si="507"/>
        <v>2.7032163281326358E-5</v>
      </c>
    </row>
    <row r="759" spans="2:13" x14ac:dyDescent="0.3">
      <c r="B759" s="5" t="str">
        <f t="shared" si="503"/>
        <v>SPS3</v>
      </c>
      <c r="C759" s="5" t="str">
        <f t="shared" si="505"/>
        <v>CH</v>
      </c>
      <c r="D759" t="s">
        <v>466</v>
      </c>
      <c r="E759" s="5" t="s">
        <v>442</v>
      </c>
      <c r="F759" s="18">
        <f t="shared" ref="F759:K759" si="508">IFERROR(F$736/F$733,0)*F741</f>
        <v>0</v>
      </c>
      <c r="G759" s="18">
        <f t="shared" si="508"/>
        <v>0</v>
      </c>
      <c r="H759" s="18">
        <f t="shared" si="508"/>
        <v>0</v>
      </c>
      <c r="I759" s="18">
        <f t="shared" si="508"/>
        <v>0</v>
      </c>
      <c r="J759" s="18">
        <f t="shared" si="508"/>
        <v>1.1674441793035622E-5</v>
      </c>
      <c r="K759" s="18">
        <f t="shared" si="508"/>
        <v>4.2438905576054698E-6</v>
      </c>
    </row>
    <row r="760" spans="2:13" x14ac:dyDescent="0.3">
      <c r="B760" s="5" t="str">
        <f t="shared" si="503"/>
        <v>SPS3</v>
      </c>
      <c r="C760" s="5" t="str">
        <f t="shared" si="505"/>
        <v>CH</v>
      </c>
      <c r="D760" t="s">
        <v>467</v>
      </c>
      <c r="E760" s="5" t="s">
        <v>442</v>
      </c>
      <c r="F760" s="18">
        <f t="shared" ref="F760:K760" si="509">IFERROR(F$736/F$733,0)*F742</f>
        <v>0</v>
      </c>
      <c r="G760" s="18">
        <f t="shared" si="509"/>
        <v>0</v>
      </c>
      <c r="H760" s="18">
        <f t="shared" si="509"/>
        <v>0</v>
      </c>
      <c r="I760" s="18">
        <f t="shared" si="509"/>
        <v>0</v>
      </c>
      <c r="J760" s="18">
        <f t="shared" si="509"/>
        <v>3.7785821819173365E-7</v>
      </c>
      <c r="K760" s="18">
        <f t="shared" si="509"/>
        <v>4.4661227158298082E-12</v>
      </c>
    </row>
    <row r="761" spans="2:13" x14ac:dyDescent="0.3">
      <c r="B761" s="9" t="str">
        <f t="shared" si="503"/>
        <v>SPS3</v>
      </c>
      <c r="C761" s="9" t="str">
        <f t="shared" ref="C761:C775" si="510">C760</f>
        <v>CH</v>
      </c>
      <c r="D761" s="2" t="s">
        <v>496</v>
      </c>
      <c r="E761" s="9" t="s">
        <v>8</v>
      </c>
      <c r="F761" s="17">
        <f t="shared" ref="F761:K761" si="511">F762+F766+F776+F787+F789+F801+F803+F805+F809+F811+F813</f>
        <v>142.21802139986474</v>
      </c>
      <c r="G761" s="17">
        <f t="shared" si="511"/>
        <v>140.45395815356184</v>
      </c>
      <c r="H761" s="17">
        <f t="shared" si="511"/>
        <v>141.36776601289799</v>
      </c>
      <c r="I761" s="17">
        <f t="shared" si="511"/>
        <v>115.13813026904255</v>
      </c>
      <c r="J761" s="17">
        <f t="shared" si="511"/>
        <v>110.61618878538444</v>
      </c>
      <c r="K761" s="17">
        <f t="shared" si="511"/>
        <v>111.98097926515121</v>
      </c>
    </row>
    <row r="762" spans="2:13" x14ac:dyDescent="0.3">
      <c r="B762" s="5" t="str">
        <f t="shared" si="503"/>
        <v>SPS3</v>
      </c>
      <c r="C762" s="5" t="str">
        <f t="shared" si="510"/>
        <v>CH</v>
      </c>
      <c r="D762" t="s">
        <v>940</v>
      </c>
      <c r="E762" t="s">
        <v>8</v>
      </c>
      <c r="F762" s="18">
        <f>[1]Industry!B$11</f>
        <v>60.070149622205442</v>
      </c>
      <c r="G762" s="18">
        <f>[1]Industry!C$11</f>
        <v>62.618130519489689</v>
      </c>
      <c r="H762" s="18">
        <f>[1]Industry!D$11</f>
        <v>67.127184309947936</v>
      </c>
      <c r="I762" s="18">
        <f>[1]Industry!E$11</f>
        <v>62.159958882445679</v>
      </c>
      <c r="J762" s="18">
        <f>[1]Industry!F$11</f>
        <v>63.263741353286079</v>
      </c>
      <c r="K762" s="18">
        <f>[1]Industry!G$11</f>
        <v>65.313036772849941</v>
      </c>
    </row>
    <row r="763" spans="2:13" x14ac:dyDescent="0.3">
      <c r="B763" s="5" t="str">
        <f t="shared" si="503"/>
        <v>SPS3</v>
      </c>
      <c r="C763" s="5" t="str">
        <f t="shared" si="510"/>
        <v>CH</v>
      </c>
      <c r="D763" t="s">
        <v>758</v>
      </c>
      <c r="E763" t="s">
        <v>8</v>
      </c>
      <c r="F763" s="1">
        <f t="shared" ref="F763:J763" si="512">F762-F764-F765</f>
        <v>11.647014119167387</v>
      </c>
      <c r="G763" s="1">
        <f t="shared" si="512"/>
        <v>12.258993111533862</v>
      </c>
      <c r="H763" s="1">
        <f t="shared" si="512"/>
        <v>14.566039721692619</v>
      </c>
      <c r="I763" s="1">
        <f t="shared" si="512"/>
        <v>14.546789051234171</v>
      </c>
      <c r="J763" s="1">
        <f t="shared" si="512"/>
        <v>14.508410226001089</v>
      </c>
      <c r="K763" s="1">
        <f>K762-K764-K765</f>
        <v>14.470234055232048</v>
      </c>
      <c r="L763" s="1"/>
      <c r="M763" s="1"/>
    </row>
    <row r="764" spans="2:13" x14ac:dyDescent="0.3">
      <c r="B764" s="5" t="str">
        <f t="shared" si="503"/>
        <v>SPS3</v>
      </c>
      <c r="C764" s="5" t="str">
        <f t="shared" si="510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0.35973785086705651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0.45107865788222445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1.0656673624345723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1.4159475755017958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1.36368694955154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1.4338512009280242</v>
      </c>
    </row>
    <row r="765" spans="2:13" x14ac:dyDescent="0.3">
      <c r="B765" s="5" t="str">
        <f t="shared" si="503"/>
        <v>SPS3</v>
      </c>
      <c r="C765" s="5" t="str">
        <f t="shared" si="510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49.9080587500736</v>
      </c>
      <c r="H765" s="1">
        <f>[1]Industry!D$11-[1]Industry!D$33</f>
        <v>51.49547722582075</v>
      </c>
      <c r="I765" s="1">
        <f>[1]Industry!E$11-[1]Industry!E$33</f>
        <v>46.197222255709711</v>
      </c>
      <c r="J765" s="1">
        <f>[1]Industry!F$11-[1]Industry!F$33</f>
        <v>47.391644177733447</v>
      </c>
      <c r="K765" s="1">
        <f>[1]Industry!G$11-[1]Industry!G$33</f>
        <v>49.408951516689868</v>
      </c>
    </row>
    <row r="766" spans="2:13" x14ac:dyDescent="0.3">
      <c r="B766" s="5" t="str">
        <f t="shared" si="503"/>
        <v>SPS3</v>
      </c>
      <c r="C766" s="5" t="str">
        <f t="shared" si="510"/>
        <v>CH</v>
      </c>
      <c r="D766" t="s">
        <v>469</v>
      </c>
      <c r="E766" t="s">
        <v>8</v>
      </c>
      <c r="F766" s="1">
        <f>SUM(F769,F774)</f>
        <v>11.627855100894026</v>
      </c>
      <c r="G766" s="1">
        <f t="shared" ref="G766:K766" si="513">SUM(G769,G774)</f>
        <v>9.3693903857935226</v>
      </c>
      <c r="H766" s="1">
        <f t="shared" si="513"/>
        <v>7.9545624277990612</v>
      </c>
      <c r="I766" s="1">
        <f t="shared" si="513"/>
        <v>4.934158595947121</v>
      </c>
      <c r="J766" s="1">
        <f t="shared" si="513"/>
        <v>3.5162525331460586</v>
      </c>
      <c r="K766" s="1">
        <f t="shared" si="513"/>
        <v>1.9035893420876706</v>
      </c>
    </row>
    <row r="767" spans="2:13" x14ac:dyDescent="0.3">
      <c r="B767" s="5" t="str">
        <f t="shared" si="503"/>
        <v>SPS3</v>
      </c>
      <c r="C767" s="5" t="str">
        <f t="shared" si="510"/>
        <v>CH</v>
      </c>
      <c r="D767" t="s">
        <v>470</v>
      </c>
      <c r="E767" t="s">
        <v>8</v>
      </c>
      <c r="F767" s="1">
        <f>SUM(F771,F775)</f>
        <v>8.8978428654847015</v>
      </c>
      <c r="G767" s="1">
        <f t="shared" ref="G767:K767" si="514">SUM(G771,G775)</f>
        <v>8.1035799852319297</v>
      </c>
      <c r="H767" s="1">
        <f t="shared" si="514"/>
        <v>7.933292768980909</v>
      </c>
      <c r="I767" s="1">
        <f t="shared" si="514"/>
        <v>4.9341512828131684</v>
      </c>
      <c r="J767" s="1">
        <f t="shared" si="514"/>
        <v>3.5156428802276825</v>
      </c>
      <c r="K767" s="1">
        <f t="shared" si="514"/>
        <v>1.9035893420876706</v>
      </c>
    </row>
    <row r="768" spans="2:13" x14ac:dyDescent="0.3">
      <c r="B768" s="5" t="str">
        <f t="shared" si="503"/>
        <v>SPS3</v>
      </c>
      <c r="C768" s="5" t="str">
        <f t="shared" si="510"/>
        <v>CH</v>
      </c>
      <c r="D768" t="s">
        <v>471</v>
      </c>
      <c r="E768" t="s">
        <v>8</v>
      </c>
      <c r="F768" s="1">
        <f>F773</f>
        <v>2.7300122354093239</v>
      </c>
      <c r="G768" s="1">
        <f t="shared" ref="G768:K768" si="515">G773</f>
        <v>1.2658104005615924</v>
      </c>
      <c r="H768" s="1">
        <f t="shared" si="515"/>
        <v>2.1269658818152477E-2</v>
      </c>
      <c r="I768" s="1">
        <f t="shared" si="515"/>
        <v>7.3131339522252191E-6</v>
      </c>
      <c r="J768" s="1">
        <f t="shared" si="515"/>
        <v>6.0965291837610435E-4</v>
      </c>
      <c r="K768" s="1">
        <f t="shared" si="515"/>
        <v>0</v>
      </c>
    </row>
    <row r="769" spans="2:11" x14ac:dyDescent="0.3">
      <c r="B769" s="5" t="str">
        <f t="shared" si="503"/>
        <v>SPS3</v>
      </c>
      <c r="C769" s="5" t="str">
        <f t="shared" si="510"/>
        <v>CH</v>
      </c>
      <c r="D769" t="s">
        <v>941</v>
      </c>
      <c r="E769" t="s">
        <v>8</v>
      </c>
      <c r="F769" s="1">
        <f>SUM(F770,F772)</f>
        <v>11.627855100894026</v>
      </c>
      <c r="G769" s="1">
        <f t="shared" ref="G769:K769" si="516">SUM(G770,G772)</f>
        <v>9.3693903857935226</v>
      </c>
      <c r="H769" s="1">
        <f t="shared" si="516"/>
        <v>7.9543831736003341</v>
      </c>
      <c r="I769" s="1">
        <f t="shared" si="516"/>
        <v>4.9339778667292764</v>
      </c>
      <c r="J769" s="1">
        <f t="shared" si="516"/>
        <v>2.1100039665085375</v>
      </c>
      <c r="K769" s="1">
        <f t="shared" si="516"/>
        <v>7.8842582349893204E-5</v>
      </c>
    </row>
    <row r="770" spans="2:11" x14ac:dyDescent="0.3">
      <c r="B770" s="5" t="str">
        <f t="shared" si="503"/>
        <v>SPS3</v>
      </c>
      <c r="C770" s="5" t="str">
        <f t="shared" si="510"/>
        <v>CH</v>
      </c>
      <c r="D770" t="s">
        <v>525</v>
      </c>
      <c r="E770" t="s">
        <v>8</v>
      </c>
      <c r="F770" s="1">
        <f>[1]Industry!B$34</f>
        <v>8.8978428654847015</v>
      </c>
      <c r="G770" s="1">
        <f>[1]Industry!C$34</f>
        <v>8.1035799852319297</v>
      </c>
      <c r="H770" s="1">
        <f>[1]Industry!D$34</f>
        <v>7.9331135147821819</v>
      </c>
      <c r="I770" s="1">
        <f>[1]Industry!E$34</f>
        <v>4.9339705535953238</v>
      </c>
      <c r="J770" s="1">
        <f>[1]Industry!F$34</f>
        <v>2.1093943135901614</v>
      </c>
      <c r="K770" s="1">
        <f>[1]Industry!G$34</f>
        <v>7.8842582349893204E-5</v>
      </c>
    </row>
    <row r="771" spans="2:11" x14ac:dyDescent="0.3">
      <c r="B771" s="5" t="str">
        <f t="shared" si="503"/>
        <v>SPS3</v>
      </c>
      <c r="C771" s="5" t="str">
        <f t="shared" si="510"/>
        <v>CH</v>
      </c>
      <c r="D771" t="s">
        <v>526</v>
      </c>
      <c r="E771" t="s">
        <v>8</v>
      </c>
      <c r="F771" s="1">
        <f>F770</f>
        <v>8.8978428654847015</v>
      </c>
      <c r="G771" s="1">
        <f t="shared" ref="G771:K771" si="517">G770</f>
        <v>8.1035799852319297</v>
      </c>
      <c r="H771" s="1">
        <f t="shared" si="517"/>
        <v>7.9331135147821819</v>
      </c>
      <c r="I771" s="1">
        <f t="shared" si="517"/>
        <v>4.9339705535953238</v>
      </c>
      <c r="J771" s="1">
        <f t="shared" si="517"/>
        <v>2.1093943135901614</v>
      </c>
      <c r="K771" s="1">
        <f t="shared" si="517"/>
        <v>7.8842582349893204E-5</v>
      </c>
    </row>
    <row r="772" spans="2:11" x14ac:dyDescent="0.3">
      <c r="B772" s="5" t="str">
        <f t="shared" si="503"/>
        <v>SPS3</v>
      </c>
      <c r="C772" s="5" t="str">
        <f t="shared" si="510"/>
        <v>CH</v>
      </c>
      <c r="D772" t="s">
        <v>527</v>
      </c>
      <c r="E772" t="s">
        <v>8</v>
      </c>
      <c r="F772" s="1">
        <f>[1]Industry!B$35</f>
        <v>2.7300122354093239</v>
      </c>
      <c r="G772" s="1">
        <f>[1]Industry!C$35</f>
        <v>1.2658104005615924</v>
      </c>
      <c r="H772" s="1">
        <f>[1]Industry!D$35</f>
        <v>2.1269658818152477E-2</v>
      </c>
      <c r="I772" s="1">
        <f>[1]Industry!E$35</f>
        <v>7.3131339522252191E-6</v>
      </c>
      <c r="J772" s="1">
        <f>[1]Industry!F$35</f>
        <v>6.0965291837610435E-4</v>
      </c>
      <c r="K772" s="1">
        <f>[1]Industry!G$35</f>
        <v>0</v>
      </c>
    </row>
    <row r="773" spans="2:11" x14ac:dyDescent="0.3">
      <c r="B773" s="5" t="str">
        <f t="shared" si="503"/>
        <v>SPS3</v>
      </c>
      <c r="C773" s="5" t="str">
        <f t="shared" si="510"/>
        <v>CH</v>
      </c>
      <c r="D773" t="s">
        <v>944</v>
      </c>
      <c r="E773" t="s">
        <v>8</v>
      </c>
      <c r="F773" s="1">
        <f>F772</f>
        <v>2.7300122354093239</v>
      </c>
      <c r="G773" s="1">
        <f t="shared" ref="G773:K773" si="518">G772</f>
        <v>1.2658104005615924</v>
      </c>
      <c r="H773" s="1">
        <f t="shared" si="518"/>
        <v>2.1269658818152477E-2</v>
      </c>
      <c r="I773" s="1">
        <f t="shared" si="518"/>
        <v>7.3131339522252191E-6</v>
      </c>
      <c r="J773" s="1">
        <f t="shared" si="518"/>
        <v>6.0965291837610435E-4</v>
      </c>
      <c r="K773" s="1">
        <f t="shared" si="518"/>
        <v>0</v>
      </c>
    </row>
    <row r="774" spans="2:11" x14ac:dyDescent="0.3">
      <c r="B774" s="5" t="str">
        <f t="shared" si="503"/>
        <v>SPS3</v>
      </c>
      <c r="C774" s="5" t="str">
        <f t="shared" si="510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1.7925419872694137E-4</v>
      </c>
      <c r="I774" s="1">
        <f>[1]Industry!E$36</f>
        <v>1.8072921784475544E-4</v>
      </c>
      <c r="J774" s="1">
        <f>[1]Industry!F$36</f>
        <v>1.4062485666375213</v>
      </c>
      <c r="K774" s="1">
        <f>[1]Industry!G$36</f>
        <v>1.9035104995053207</v>
      </c>
    </row>
    <row r="775" spans="2:11" x14ac:dyDescent="0.3">
      <c r="B775" s="5" t="str">
        <f t="shared" si="503"/>
        <v>SPS3</v>
      </c>
      <c r="C775" s="5" t="str">
        <f t="shared" si="510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19">G774</f>
        <v>0</v>
      </c>
      <c r="H775" s="1">
        <f t="shared" si="519"/>
        <v>1.7925419872694137E-4</v>
      </c>
      <c r="I775" s="1">
        <f t="shared" si="519"/>
        <v>1.8072921784475544E-4</v>
      </c>
      <c r="J775" s="1">
        <f t="shared" si="519"/>
        <v>1.4062485666375213</v>
      </c>
      <c r="K775" s="1">
        <f t="shared" si="519"/>
        <v>1.9035104995053207</v>
      </c>
    </row>
    <row r="776" spans="2:11" x14ac:dyDescent="0.3">
      <c r="B776" s="5" t="str">
        <f t="shared" si="503"/>
        <v>SPS3</v>
      </c>
      <c r="C776" s="5" t="str">
        <f t="shared" ref="C776:C777" si="520">C775</f>
        <v>CH</v>
      </c>
      <c r="D776" t="s">
        <v>472</v>
      </c>
      <c r="E776" t="s">
        <v>8</v>
      </c>
      <c r="F776" s="1">
        <f>SUM([1]Industry!B$37:B$39)</f>
        <v>35.989133740593751</v>
      </c>
      <c r="G776" s="1">
        <f>SUM([1]Industry!C$37:C$39)</f>
        <v>30.900156180283485</v>
      </c>
      <c r="H776" s="1">
        <f>SUM([1]Industry!D$37:D$39)</f>
        <v>32.948051328802165</v>
      </c>
      <c r="I776" s="1">
        <f>SUM([1]Industry!E$37:E$39)</f>
        <v>14.380023854593539</v>
      </c>
      <c r="J776" s="1">
        <f>SUM([1]Industry!F$37:F$39)</f>
        <v>7.4809388607789149</v>
      </c>
      <c r="K776" s="1">
        <f>SUM([1]Industry!G$37:G$39)</f>
        <v>6.5125191300347716</v>
      </c>
    </row>
    <row r="777" spans="2:11" x14ac:dyDescent="0.3">
      <c r="B777" s="5" t="str">
        <f t="shared" si="503"/>
        <v>SPS3</v>
      </c>
      <c r="C777" s="5" t="str">
        <f t="shared" si="520"/>
        <v>CH</v>
      </c>
      <c r="D777" t="s">
        <v>678</v>
      </c>
      <c r="E777" t="s">
        <v>8</v>
      </c>
      <c r="F777" s="1">
        <f>SUM([1]Industry!B$37:B$38)-F778</f>
        <v>35.545940636040704</v>
      </c>
      <c r="G777" s="1">
        <f>SUM([1]Industry!C$37:C$38)-G778</f>
        <v>30.32587230919366</v>
      </c>
      <c r="H777" s="1">
        <f>SUM([1]Industry!D$37:D$38)-H778</f>
        <v>30.724386078257698</v>
      </c>
      <c r="I777" s="1">
        <f>SUM([1]Industry!E$37:E$38)-I778</f>
        <v>12.155665360090905</v>
      </c>
      <c r="J777" s="1">
        <f>SUM([1]Industry!F$37:F$38)-J778</f>
        <v>5.2559010364046426</v>
      </c>
      <c r="K777" s="1">
        <f>SUM([1]Industry!G$37:G$38)-K778</f>
        <v>2.7350725111454874</v>
      </c>
    </row>
    <row r="778" spans="2:11" x14ac:dyDescent="0.3">
      <c r="B778" s="5" t="str">
        <f t="shared" si="503"/>
        <v>SPS3</v>
      </c>
      <c r="C778" s="5" t="str">
        <f t="shared" ref="C778" si="521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6.445740141795552E-3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2.2213283350140261E-2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3">
      <c r="B779" s="5" t="str">
        <f t="shared" si="503"/>
        <v>SPS3</v>
      </c>
      <c r="C779" s="5" t="str">
        <f>C777</f>
        <v>CH</v>
      </c>
      <c r="D779" t="s">
        <v>473</v>
      </c>
      <c r="E779" t="s">
        <v>8</v>
      </c>
      <c r="F779" s="1">
        <f t="shared" ref="F779:K779" si="522">F776-F777</f>
        <v>0.44319310455304617</v>
      </c>
      <c r="G779" s="1">
        <f t="shared" si="522"/>
        <v>0.57428387108982548</v>
      </c>
      <c r="H779" s="1">
        <f t="shared" si="522"/>
        <v>2.2236652505444674</v>
      </c>
      <c r="I779" s="1">
        <f t="shared" si="522"/>
        <v>2.2243584945026331</v>
      </c>
      <c r="J779" s="1">
        <f t="shared" si="522"/>
        <v>2.2250378243742723</v>
      </c>
      <c r="K779" s="1">
        <f t="shared" si="522"/>
        <v>3.7774466188892841</v>
      </c>
    </row>
    <row r="780" spans="2:11" x14ac:dyDescent="0.3">
      <c r="B780" s="5" t="str">
        <f t="shared" si="503"/>
        <v>SPS3</v>
      </c>
      <c r="C780" s="5" t="str">
        <f t="shared" ref="C780:C788" si="523">C779</f>
        <v>CH</v>
      </c>
      <c r="D780" t="s">
        <v>945</v>
      </c>
      <c r="E780" t="s">
        <v>8</v>
      </c>
      <c r="F780" s="1">
        <f>[1]Industry!B$37</f>
        <v>35.251582761755017</v>
      </c>
      <c r="G780" s="1">
        <f>[1]Industry!C$37</f>
        <v>30.34770824276621</v>
      </c>
      <c r="H780" s="1">
        <f>[1]Industry!D$37</f>
        <v>30.724007882297844</v>
      </c>
      <c r="I780" s="1">
        <f>[1]Industry!E$37</f>
        <v>12.155286585008463</v>
      </c>
      <c r="J780" s="1">
        <f>[1]Industry!F$37</f>
        <v>3.0884697670090659</v>
      </c>
      <c r="K780" s="1">
        <f>[1]Industry!G$37</f>
        <v>0.56554697839336765</v>
      </c>
    </row>
    <row r="781" spans="2:11" x14ac:dyDescent="0.3">
      <c r="B781" s="5" t="str">
        <f t="shared" si="503"/>
        <v>SPS3</v>
      </c>
      <c r="C781" s="5" t="str">
        <f t="shared" si="523"/>
        <v>CH</v>
      </c>
      <c r="D781" t="s">
        <v>679</v>
      </c>
      <c r="E781" t="s">
        <v>8</v>
      </c>
      <c r="F781" s="1">
        <f>[1]Industry!B$37*F777/SUM(F777:F778)</f>
        <v>35.245191558091079</v>
      </c>
      <c r="G781" s="1">
        <f>[1]Industry!C$37*G777/SUM(G777:G778)</f>
        <v>30.325495235617264</v>
      </c>
      <c r="H781" s="1">
        <f>[1]Industry!D$37*H777/SUM(H777:H778)</f>
        <v>30.724007882297844</v>
      </c>
      <c r="I781" s="1">
        <f>[1]Industry!E$37*I777/SUM(I777:I778)</f>
        <v>12.155286585008463</v>
      </c>
      <c r="J781" s="1">
        <f>[1]Industry!F$37*J777/SUM(J777:J778)</f>
        <v>3.0884697670090659</v>
      </c>
      <c r="K781" s="1">
        <f>[1]Industry!G$37*K777/SUM(K777:K778)</f>
        <v>0.56554697839336765</v>
      </c>
    </row>
    <row r="782" spans="2:11" x14ac:dyDescent="0.3">
      <c r="B782" s="5" t="str">
        <f t="shared" si="503"/>
        <v>SPS3</v>
      </c>
      <c r="C782" s="5" t="str">
        <f t="shared" ref="C782" si="524">C781</f>
        <v>CH</v>
      </c>
      <c r="D782" t="s">
        <v>723</v>
      </c>
      <c r="E782" t="s">
        <v>8</v>
      </c>
      <c r="F782" s="1">
        <f>F780-F781</f>
        <v>6.3912036639379721E-3</v>
      </c>
      <c r="G782" s="1">
        <f t="shared" ref="G782:K782" si="525">G780-G781</f>
        <v>2.2213007148945252E-2</v>
      </c>
      <c r="H782" s="1">
        <f t="shared" si="525"/>
        <v>0</v>
      </c>
      <c r="I782" s="1">
        <f t="shared" si="525"/>
        <v>0</v>
      </c>
      <c r="J782" s="1">
        <f t="shared" si="525"/>
        <v>0</v>
      </c>
      <c r="K782" s="1">
        <f t="shared" si="525"/>
        <v>0</v>
      </c>
    </row>
    <row r="783" spans="2:11" x14ac:dyDescent="0.3">
      <c r="B783" s="5" t="str">
        <f t="shared" si="503"/>
        <v>SPS3</v>
      </c>
      <c r="C783" s="5" t="str">
        <f>C781</f>
        <v>CH</v>
      </c>
      <c r="D783" t="s">
        <v>946</v>
      </c>
      <c r="E783" t="s">
        <v>8</v>
      </c>
      <c r="F783" s="1">
        <f>SUM(F784:F786)</f>
        <v>0.73755097883873255</v>
      </c>
      <c r="G783" s="1">
        <f t="shared" ref="G783:K783" si="526">SUM(G784:G786)</f>
        <v>0.55244793751727572</v>
      </c>
      <c r="H783" s="1">
        <f t="shared" si="526"/>
        <v>2.2240434465043228</v>
      </c>
      <c r="I783" s="1">
        <f t="shared" si="526"/>
        <v>2.2247372695850753</v>
      </c>
      <c r="J783" s="1">
        <f t="shared" si="526"/>
        <v>4.3924690937698498</v>
      </c>
      <c r="K783" s="1">
        <f t="shared" si="526"/>
        <v>5.946972151641404</v>
      </c>
    </row>
    <row r="784" spans="2:11" x14ac:dyDescent="0.3">
      <c r="B784" s="5" t="str">
        <f t="shared" si="503"/>
        <v>SPS3</v>
      </c>
      <c r="C784" s="5" t="str">
        <f t="shared" si="523"/>
        <v>CH</v>
      </c>
      <c r="D784" t="s">
        <v>680</v>
      </c>
      <c r="E784" t="s">
        <v>8</v>
      </c>
      <c r="F784" s="1">
        <f>[1]Industry!B$38*F777/SUM(F777:F778)</f>
        <v>0.30074907794962535</v>
      </c>
      <c r="G784" s="1">
        <f>[1]Industry!C$38*G777/SUM(G777:G778)</f>
        <v>3.7707357639571389E-4</v>
      </c>
      <c r="H784" s="1">
        <f>[1]Industry!D$38*H777/SUM(H777:H778)</f>
        <v>3.7819595985442224E-4</v>
      </c>
      <c r="I784" s="1">
        <f>[1]Industry!E$38*I777/SUM(I777:I778)</f>
        <v>3.7877508244235538E-4</v>
      </c>
      <c r="J784" s="1">
        <f>[1]Industry!F$38*J777/SUM(J777:J778)</f>
        <v>2.1674312693955771</v>
      </c>
      <c r="K784" s="1">
        <f>[1]Industry!G$38*K777/SUM(K777:K778)</f>
        <v>2.1695255327521199</v>
      </c>
    </row>
    <row r="785" spans="2:13" x14ac:dyDescent="0.3">
      <c r="B785" s="5" t="str">
        <f t="shared" si="503"/>
        <v>SPS3</v>
      </c>
      <c r="C785" s="5" t="str">
        <f t="shared" ref="C785" si="527">C784</f>
        <v>CH</v>
      </c>
      <c r="D785" t="s">
        <v>724</v>
      </c>
      <c r="E785" t="s">
        <v>8</v>
      </c>
      <c r="F785" s="1">
        <f>[1]Industry!B$38-F784</f>
        <v>5.4536477855415821E-5</v>
      </c>
      <c r="G785" s="1">
        <f>[1]Industry!C$38-G784</f>
        <v>2.7620119582807317E-7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3">
      <c r="B786" s="5" t="str">
        <f t="shared" si="503"/>
        <v>SPS3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0.43674736441125178</v>
      </c>
      <c r="G786" s="1">
        <f>[1]Industry!C$39</f>
        <v>0.5520705877396842</v>
      </c>
      <c r="H786" s="1">
        <f>[1]Industry!D$39</f>
        <v>2.2236652505444683</v>
      </c>
      <c r="I786" s="1">
        <f>[1]Industry!E$39</f>
        <v>2.2243584945026331</v>
      </c>
      <c r="J786" s="1">
        <f>[1]Industry!F$39</f>
        <v>2.2250378243742728</v>
      </c>
      <c r="K786" s="1">
        <f>[1]Industry!G$39</f>
        <v>3.7774466188892841</v>
      </c>
    </row>
    <row r="787" spans="2:13" x14ac:dyDescent="0.3">
      <c r="B787" s="5" t="str">
        <f t="shared" si="503"/>
        <v>SPS3</v>
      </c>
      <c r="C787" s="5" t="str">
        <f t="shared" si="523"/>
        <v>CH</v>
      </c>
      <c r="D787" t="s">
        <v>947</v>
      </c>
      <c r="E787" t="s">
        <v>8</v>
      </c>
      <c r="F787" s="1">
        <f>[1]Industry!B$18</f>
        <v>3.5600126292326757</v>
      </c>
      <c r="G787" s="1">
        <f>[1]Industry!C$18</f>
        <v>3.4647193098122413</v>
      </c>
      <c r="H787" s="1">
        <f>[1]Industry!D$18</f>
        <v>3.9355579699592212E-2</v>
      </c>
      <c r="I787" s="1">
        <f>[1]Industry!E$18</f>
        <v>7.8442736175054533E-6</v>
      </c>
      <c r="J787" s="1">
        <f>[1]Industry!F$18</f>
        <v>5.665934434187298E-4</v>
      </c>
      <c r="K787" s="1">
        <f>[1]Industry!G$18</f>
        <v>1.3661270687521166E-3</v>
      </c>
    </row>
    <row r="788" spans="2:13" x14ac:dyDescent="0.3">
      <c r="B788" s="5" t="str">
        <f t="shared" si="503"/>
        <v>SPS3</v>
      </c>
      <c r="C788" s="5" t="str">
        <f t="shared" si="523"/>
        <v>CH</v>
      </c>
      <c r="D788" t="s">
        <v>948</v>
      </c>
      <c r="E788" t="s">
        <v>8</v>
      </c>
      <c r="F788" s="1">
        <f>F787</f>
        <v>3.5600126292326757</v>
      </c>
      <c r="G788" s="1">
        <f t="shared" ref="G788:K788" si="528">G787</f>
        <v>3.4647193098122413</v>
      </c>
      <c r="H788" s="1">
        <f t="shared" si="528"/>
        <v>3.9355579699592212E-2</v>
      </c>
      <c r="I788" s="1">
        <f t="shared" si="528"/>
        <v>7.8442736175054533E-6</v>
      </c>
      <c r="J788" s="1">
        <f t="shared" si="528"/>
        <v>5.665934434187298E-4</v>
      </c>
      <c r="K788" s="1">
        <f t="shared" si="528"/>
        <v>1.3661270687521166E-3</v>
      </c>
    </row>
    <row r="789" spans="2:13" x14ac:dyDescent="0.3">
      <c r="B789" s="5" t="str">
        <f t="shared" si="503"/>
        <v>SPS3</v>
      </c>
      <c r="C789" s="5" t="str">
        <f t="shared" ref="C789:C790" si="529">C788</f>
        <v>CH</v>
      </c>
      <c r="D789" t="s">
        <v>949</v>
      </c>
      <c r="E789" t="s">
        <v>8</v>
      </c>
      <c r="F789" s="1">
        <f>[1]Industry!B$19</f>
        <v>12.728774195313637</v>
      </c>
      <c r="G789" s="1">
        <f>[1]Industry!C$19</f>
        <v>13.638482955839239</v>
      </c>
      <c r="H789" s="1">
        <f>[1]Industry!D$19</f>
        <v>13.373285189922981</v>
      </c>
      <c r="I789" s="1">
        <f>[1]Industry!E$19</f>
        <v>12.943020345178262</v>
      </c>
      <c r="J789" s="1">
        <f>[1]Industry!F$19</f>
        <v>15.511866335055544</v>
      </c>
      <c r="K789" s="1">
        <f>[1]Industry!G$19</f>
        <v>20.179715242800366</v>
      </c>
    </row>
    <row r="790" spans="2:13" x14ac:dyDescent="0.3">
      <c r="B790" s="5" t="str">
        <f t="shared" si="503"/>
        <v>SPS3</v>
      </c>
      <c r="C790" s="5" t="str">
        <f t="shared" si="529"/>
        <v>CH</v>
      </c>
      <c r="D790" t="s">
        <v>950</v>
      </c>
      <c r="E790" t="s">
        <v>8</v>
      </c>
      <c r="F790" s="1">
        <f>SUM(F791:F799)</f>
        <v>4.3552383879897789</v>
      </c>
      <c r="G790" s="1">
        <f t="shared" ref="G790:K790" si="530">SUM(G791:G799)</f>
        <v>5.8497372928537086</v>
      </c>
      <c r="H790" s="1">
        <f t="shared" si="530"/>
        <v>6.0742921652077255</v>
      </c>
      <c r="I790" s="1">
        <f t="shared" si="530"/>
        <v>6.9945104090570904</v>
      </c>
      <c r="J790" s="1">
        <f t="shared" si="530"/>
        <v>10.98909058076906</v>
      </c>
      <c r="K790" s="1">
        <f t="shared" si="530"/>
        <v>13.125328663764503</v>
      </c>
      <c r="M790" s="1"/>
    </row>
    <row r="791" spans="2:13" x14ac:dyDescent="0.3">
      <c r="B791" s="5" t="str">
        <f t="shared" si="503"/>
        <v>SPS3</v>
      </c>
      <c r="C791" s="5" t="str">
        <f t="shared" ref="C791:C808" si="531">C790</f>
        <v>CH</v>
      </c>
      <c r="D791" t="s">
        <v>481</v>
      </c>
      <c r="E791" t="s">
        <v>8</v>
      </c>
      <c r="F791" s="1">
        <f>F233</f>
        <v>0.92954347676770799</v>
      </c>
      <c r="G791" s="1">
        <f t="shared" ref="G791:K791" si="532">G233</f>
        <v>2.0703244223048678</v>
      </c>
      <c r="H791" s="1">
        <f t="shared" si="532"/>
        <v>7.6450775834111126E-2</v>
      </c>
      <c r="I791" s="1">
        <f t="shared" si="532"/>
        <v>1.1798399353600948E-4</v>
      </c>
      <c r="J791" s="1">
        <f t="shared" si="532"/>
        <v>0.3733603460998865</v>
      </c>
      <c r="K791" s="1">
        <f t="shared" si="532"/>
        <v>0.38024565079237488</v>
      </c>
    </row>
    <row r="792" spans="2:13" x14ac:dyDescent="0.3">
      <c r="B792" s="5" t="str">
        <f t="shared" si="503"/>
        <v>SPS3</v>
      </c>
      <c r="C792" s="5" t="str">
        <f t="shared" si="531"/>
        <v>CH</v>
      </c>
      <c r="D792" t="s">
        <v>482</v>
      </c>
      <c r="E792" t="s">
        <v>8</v>
      </c>
      <c r="F792" s="1">
        <f>F239</f>
        <v>0.83097169474404908</v>
      </c>
      <c r="G792" s="1">
        <f t="shared" ref="G792:K792" si="533">G239</f>
        <v>0.10395936526796071</v>
      </c>
      <c r="H792" s="1">
        <f t="shared" si="533"/>
        <v>6.4217613747012486E-2</v>
      </c>
      <c r="I792" s="1">
        <f t="shared" si="533"/>
        <v>2.5204218737960811E-2</v>
      </c>
      <c r="J792" s="1">
        <f t="shared" si="533"/>
        <v>3.1524249896719383E-2</v>
      </c>
      <c r="K792" s="1">
        <f t="shared" si="533"/>
        <v>4.1232906132956514E-2</v>
      </c>
    </row>
    <row r="793" spans="2:13" x14ac:dyDescent="0.3">
      <c r="B793" s="5" t="str">
        <f t="shared" si="503"/>
        <v>SPS3</v>
      </c>
      <c r="C793" s="5" t="str">
        <f t="shared" si="531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34">G240</f>
        <v>0</v>
      </c>
      <c r="H793" s="1">
        <f t="shared" si="534"/>
        <v>0</v>
      </c>
      <c r="I793" s="1">
        <f t="shared" si="534"/>
        <v>0</v>
      </c>
      <c r="J793" s="1">
        <f t="shared" si="534"/>
        <v>6.8528435693836643E-3</v>
      </c>
      <c r="K793" s="1">
        <f t="shared" si="534"/>
        <v>2.3978033319372628E-2</v>
      </c>
    </row>
    <row r="794" spans="2:13" x14ac:dyDescent="0.3">
      <c r="B794" s="5" t="str">
        <f t="shared" si="503"/>
        <v>SPS3</v>
      </c>
      <c r="C794" s="5" t="str">
        <f t="shared" si="531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35">G241</f>
        <v>0</v>
      </c>
      <c r="H794" s="1">
        <f t="shared" si="535"/>
        <v>0</v>
      </c>
      <c r="I794" s="1">
        <f t="shared" si="535"/>
        <v>0</v>
      </c>
      <c r="J794" s="1">
        <f t="shared" si="535"/>
        <v>0.12220525744866539</v>
      </c>
      <c r="K794" s="1">
        <f t="shared" si="535"/>
        <v>3.3330888000984271E-2</v>
      </c>
    </row>
    <row r="795" spans="2:13" x14ac:dyDescent="0.3">
      <c r="B795" s="5" t="str">
        <f t="shared" si="503"/>
        <v>SPS3</v>
      </c>
      <c r="C795" s="5" t="str">
        <f t="shared" si="531"/>
        <v>CH</v>
      </c>
      <c r="D795" t="s">
        <v>485</v>
      </c>
      <c r="E795" t="s">
        <v>8</v>
      </c>
      <c r="F795" s="1">
        <f>F272</f>
        <v>1.9348936756277308</v>
      </c>
      <c r="G795" s="1">
        <f t="shared" ref="G795:K795" si="536">G272</f>
        <v>1.8588235968663129</v>
      </c>
      <c r="H795" s="1">
        <f t="shared" si="536"/>
        <v>2.5503305591876173</v>
      </c>
      <c r="I795" s="1">
        <f t="shared" si="536"/>
        <v>2.3158676321157317</v>
      </c>
      <c r="J795" s="1">
        <f t="shared" si="536"/>
        <v>3.2404013006370569</v>
      </c>
      <c r="K795" s="1">
        <f t="shared" si="536"/>
        <v>1.7069012072568057E-3</v>
      </c>
    </row>
    <row r="796" spans="2:13" x14ac:dyDescent="0.3">
      <c r="B796" s="5" t="str">
        <f t="shared" si="503"/>
        <v>SPS3</v>
      </c>
      <c r="C796" s="5" t="str">
        <f t="shared" si="531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37">G273</f>
        <v>0</v>
      </c>
      <c r="H796" s="1">
        <f t="shared" si="537"/>
        <v>0</v>
      </c>
      <c r="I796" s="1">
        <f t="shared" si="537"/>
        <v>0</v>
      </c>
      <c r="J796" s="1">
        <f t="shared" si="537"/>
        <v>5.7023463937578324E-2</v>
      </c>
      <c r="K796" s="1">
        <f t="shared" si="537"/>
        <v>2.0093677911322319</v>
      </c>
    </row>
    <row r="797" spans="2:13" x14ac:dyDescent="0.3">
      <c r="B797" s="5" t="str">
        <f t="shared" si="503"/>
        <v>SPS3</v>
      </c>
      <c r="C797" s="5" t="str">
        <f t="shared" si="531"/>
        <v>CH</v>
      </c>
      <c r="D797" t="s">
        <v>487</v>
      </c>
      <c r="E797" t="s">
        <v>8</v>
      </c>
      <c r="F797" s="1">
        <f>F281</f>
        <v>0.65982954085029144</v>
      </c>
      <c r="G797" s="1">
        <f t="shared" ref="G797:K797" si="538">G281</f>
        <v>1.8166299084145672</v>
      </c>
      <c r="H797" s="1">
        <f t="shared" si="538"/>
        <v>3.3832932164389846</v>
      </c>
      <c r="I797" s="1">
        <f t="shared" si="538"/>
        <v>4.6533205742098618</v>
      </c>
      <c r="J797" s="1">
        <f t="shared" si="538"/>
        <v>2.494650368185737</v>
      </c>
      <c r="K797" s="1">
        <f t="shared" si="538"/>
        <v>0.65547992551454293</v>
      </c>
    </row>
    <row r="798" spans="2:13" x14ac:dyDescent="0.3">
      <c r="B798" s="5" t="str">
        <f t="shared" si="503"/>
        <v>SPS3</v>
      </c>
      <c r="C798" s="5" t="str">
        <f t="shared" si="531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39">G282</f>
        <v>0</v>
      </c>
      <c r="H798" s="1">
        <f t="shared" si="539"/>
        <v>0</v>
      </c>
      <c r="I798" s="1">
        <f t="shared" si="539"/>
        <v>0</v>
      </c>
      <c r="J798" s="1">
        <f t="shared" si="539"/>
        <v>4.6593795211408304</v>
      </c>
      <c r="K798" s="1">
        <f t="shared" si="539"/>
        <v>7.5034736333162577</v>
      </c>
    </row>
    <row r="799" spans="2:13" x14ac:dyDescent="0.3">
      <c r="B799" s="5" t="str">
        <f t="shared" si="503"/>
        <v>SPS3</v>
      </c>
      <c r="C799" s="5" t="str">
        <f t="shared" si="531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40">G287</f>
        <v>0</v>
      </c>
      <c r="H799" s="1">
        <f t="shared" si="540"/>
        <v>0</v>
      </c>
      <c r="I799" s="1">
        <f t="shared" si="540"/>
        <v>0</v>
      </c>
      <c r="J799" s="1">
        <f t="shared" si="540"/>
        <v>3.6932298532031853E-3</v>
      </c>
      <c r="K799" s="1">
        <f t="shared" si="540"/>
        <v>2.4765129343485262</v>
      </c>
      <c r="M799" s="1"/>
    </row>
    <row r="800" spans="2:13" x14ac:dyDescent="0.3">
      <c r="B800" s="5" t="str">
        <f t="shared" si="503"/>
        <v>SPS3</v>
      </c>
      <c r="C800" s="5" t="str">
        <f t="shared" si="531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7.1200673109833792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7.6289164632415227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7.2954875400158619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5.9248680107740039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5.1948803361827398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6.5650662926356551</v>
      </c>
    </row>
    <row r="801" spans="2:11" x14ac:dyDescent="0.3">
      <c r="B801" s="5" t="str">
        <f t="shared" si="503"/>
        <v>SPS3</v>
      </c>
      <c r="C801" s="5" t="str">
        <f t="shared" si="531"/>
        <v>CH</v>
      </c>
      <c r="D801" t="s">
        <v>952</v>
      </c>
      <c r="E801" t="s">
        <v>8</v>
      </c>
      <c r="F801" s="1">
        <f>F802</f>
        <v>9.0019262210881443</v>
      </c>
      <c r="G801" s="1">
        <f t="shared" ref="G801:K801" si="541">G802</f>
        <v>10.609948957799251</v>
      </c>
      <c r="H801" s="1">
        <f t="shared" si="541"/>
        <v>9.7623698099266871</v>
      </c>
      <c r="I801" s="1">
        <f t="shared" si="541"/>
        <v>8.8114030005839794</v>
      </c>
      <c r="J801" s="1">
        <f t="shared" si="541"/>
        <v>11.266383948917843</v>
      </c>
      <c r="K801" s="1">
        <f t="shared" si="541"/>
        <v>6.8694013075768723</v>
      </c>
    </row>
    <row r="802" spans="2:11" x14ac:dyDescent="0.3">
      <c r="B802" s="5" t="str">
        <f t="shared" si="503"/>
        <v>SPS3</v>
      </c>
      <c r="C802" s="5" t="str">
        <f t="shared" si="531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9.0019262210881443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10.609948957799251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9.7623698099266871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8.8114030005839794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11.266383948917843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6.8694013075768723</v>
      </c>
    </row>
    <row r="803" spans="2:11" x14ac:dyDescent="0.3">
      <c r="B803" s="5" t="str">
        <f t="shared" si="503"/>
        <v>SPS3</v>
      </c>
      <c r="C803" s="5" t="str">
        <f t="shared" si="531"/>
        <v>CH</v>
      </c>
      <c r="D803" t="s">
        <v>954</v>
      </c>
      <c r="E803" t="s">
        <v>8</v>
      </c>
      <c r="F803" s="1">
        <f>F804</f>
        <v>0.62580210231920408</v>
      </c>
      <c r="G803" s="1">
        <f t="shared" ref="G803:K803" si="542">G804</f>
        <v>0.73757745001937336</v>
      </c>
      <c r="H803" s="1">
        <f t="shared" si="542"/>
        <v>0.73633522482937075</v>
      </c>
      <c r="I803" s="1">
        <f t="shared" si="542"/>
        <v>0.73426439223568929</v>
      </c>
      <c r="J803" s="1">
        <f t="shared" si="542"/>
        <v>0.74126498691768372</v>
      </c>
      <c r="K803" s="1">
        <f t="shared" si="542"/>
        <v>0.73803848953792095</v>
      </c>
    </row>
    <row r="804" spans="2:11" x14ac:dyDescent="0.3">
      <c r="B804" s="5" t="str">
        <f t="shared" si="503"/>
        <v>SPS3</v>
      </c>
      <c r="C804" s="5" t="str">
        <f t="shared" si="531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0.62580210231920408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0.73757745001937336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0.73633522482937075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0.73426439223568929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0.74126498691768372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0.73803848953792095</v>
      </c>
    </row>
    <row r="805" spans="2:11" x14ac:dyDescent="0.3">
      <c r="B805" s="5" t="str">
        <f t="shared" si="503"/>
        <v>SPS3</v>
      </c>
      <c r="C805" s="5" t="str">
        <f t="shared" si="531"/>
        <v>CH</v>
      </c>
      <c r="D805" t="s">
        <v>492</v>
      </c>
      <c r="E805" t="s">
        <v>8</v>
      </c>
      <c r="F805" s="1">
        <f>[1]Industry!B$21</f>
        <v>7.7980557698712785</v>
      </c>
      <c r="G805" s="1">
        <f>[1]Industry!C$21</f>
        <v>8.0802665030333447</v>
      </c>
      <c r="H805" s="1">
        <f>[1]Industry!D$21</f>
        <v>5.608370474972503</v>
      </c>
      <c r="I805" s="1">
        <f>[1]Industry!E$21</f>
        <v>5.7250651931261078</v>
      </c>
      <c r="J805" s="1">
        <f>[1]Industry!F$21</f>
        <v>0.21718736886875803</v>
      </c>
      <c r="K805" s="1">
        <f>[1]Industry!G$21</f>
        <v>3.688772163338756E-3</v>
      </c>
    </row>
    <row r="806" spans="2:11" x14ac:dyDescent="0.3">
      <c r="B806" s="5" t="str">
        <f t="shared" si="503"/>
        <v>SPS3</v>
      </c>
      <c r="C806" s="5" t="str">
        <f t="shared" si="531"/>
        <v>CH</v>
      </c>
      <c r="D806" t="s">
        <v>495</v>
      </c>
      <c r="E806" t="s">
        <v>8</v>
      </c>
      <c r="F806" s="1">
        <f>F805</f>
        <v>7.7980557698712785</v>
      </c>
      <c r="G806" s="1">
        <f t="shared" ref="G806:K806" si="543">G805</f>
        <v>8.0802665030333447</v>
      </c>
      <c r="H806" s="1">
        <f t="shared" si="543"/>
        <v>5.608370474972503</v>
      </c>
      <c r="I806" s="1">
        <f t="shared" si="543"/>
        <v>5.7250651931261078</v>
      </c>
      <c r="J806" s="1">
        <f t="shared" si="543"/>
        <v>0.21718736886875803</v>
      </c>
      <c r="K806" s="1">
        <f t="shared" si="543"/>
        <v>3.688772163338756E-3</v>
      </c>
    </row>
    <row r="807" spans="2:11" x14ac:dyDescent="0.3">
      <c r="B807" s="5" t="str">
        <f t="shared" si="503"/>
        <v>SPS3</v>
      </c>
      <c r="C807" s="5" t="str">
        <f t="shared" si="531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3">
      <c r="B808" s="5" t="str">
        <f t="shared" si="503"/>
        <v>SPS3</v>
      </c>
      <c r="C808" s="5" t="str">
        <f t="shared" si="531"/>
        <v>CH</v>
      </c>
      <c r="D808" t="s">
        <v>494</v>
      </c>
      <c r="E808" t="s">
        <v>8</v>
      </c>
      <c r="F808" s="1">
        <f>F806</f>
        <v>7.7980557698712785</v>
      </c>
      <c r="G808" s="1">
        <f t="shared" ref="G808:K808" si="544">G806</f>
        <v>8.0802665030333447</v>
      </c>
      <c r="H808" s="1">
        <f t="shared" si="544"/>
        <v>5.608370474972503</v>
      </c>
      <c r="I808" s="1">
        <f t="shared" si="544"/>
        <v>5.7250651931261078</v>
      </c>
      <c r="J808" s="1">
        <f t="shared" si="544"/>
        <v>0.21718736886875803</v>
      </c>
      <c r="K808" s="1">
        <f t="shared" si="544"/>
        <v>3.688772163338756E-3</v>
      </c>
    </row>
    <row r="809" spans="2:11" x14ac:dyDescent="0.3">
      <c r="B809" s="5" t="str">
        <f t="shared" si="503"/>
        <v>SPS3</v>
      </c>
      <c r="C809" s="5" t="str">
        <f t="shared" ref="C809:C810" si="545">C808</f>
        <v>CH</v>
      </c>
      <c r="D809" t="s">
        <v>956</v>
      </c>
      <c r="E809" t="s">
        <v>8</v>
      </c>
      <c r="F809" s="1">
        <f>[1]Industry!B$22</f>
        <v>6.7704679886547492E-2</v>
      </c>
      <c r="G809" s="1">
        <f>[1]Industry!C$22</f>
        <v>8.5522872062227848E-2</v>
      </c>
      <c r="H809" s="1">
        <f>[1]Industry!D$22</f>
        <v>1.520889332072942</v>
      </c>
      <c r="I809" s="1">
        <f>[1]Industry!E$22</f>
        <v>2.3297968911711315</v>
      </c>
      <c r="J809" s="1">
        <f>[1]Industry!F$22</f>
        <v>0.87121893147543927</v>
      </c>
      <c r="K809" s="1">
        <f>[1]Industry!G$22</f>
        <v>1.4457802653556746</v>
      </c>
    </row>
    <row r="810" spans="2:11" x14ac:dyDescent="0.3">
      <c r="B810" s="5" t="str">
        <f t="shared" si="503"/>
        <v>SPS3</v>
      </c>
      <c r="C810" s="5" t="str">
        <f t="shared" si="545"/>
        <v>CH</v>
      </c>
      <c r="D810" t="s">
        <v>957</v>
      </c>
      <c r="E810" t="s">
        <v>8</v>
      </c>
      <c r="F810" s="1">
        <f>F809</f>
        <v>6.7704679886547492E-2</v>
      </c>
      <c r="G810" s="1">
        <f t="shared" ref="G810:K810" si="546">G809</f>
        <v>8.5522872062227848E-2</v>
      </c>
      <c r="H810" s="1">
        <f t="shared" si="546"/>
        <v>1.520889332072942</v>
      </c>
      <c r="I810" s="1">
        <f t="shared" si="546"/>
        <v>2.3297968911711315</v>
      </c>
      <c r="J810" s="1">
        <f t="shared" si="546"/>
        <v>0.87121893147543927</v>
      </c>
      <c r="K810" s="1">
        <f t="shared" si="546"/>
        <v>1.4457802653556746</v>
      </c>
    </row>
    <row r="811" spans="2:11" x14ac:dyDescent="0.3">
      <c r="B811" s="5" t="str">
        <f t="shared" si="503"/>
        <v>SPS3</v>
      </c>
      <c r="C811" s="5" t="str">
        <f t="shared" ref="C811:C812" si="547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0</v>
      </c>
      <c r="I811" s="1">
        <f>[1]Industry!E$23</f>
        <v>0</v>
      </c>
      <c r="J811" s="1">
        <f>[1]Industry!F$23</f>
        <v>4.5676582093843683</v>
      </c>
      <c r="K811" s="1">
        <f>[1]Industry!G$23</f>
        <v>5.4780958634707186</v>
      </c>
    </row>
    <row r="812" spans="2:11" x14ac:dyDescent="0.3">
      <c r="B812" s="5" t="str">
        <f t="shared" si="503"/>
        <v>SPS3</v>
      </c>
      <c r="C812" s="5" t="str">
        <f t="shared" si="547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48">G811</f>
        <v>0</v>
      </c>
      <c r="H812" s="1">
        <f t="shared" si="548"/>
        <v>0</v>
      </c>
      <c r="I812" s="1">
        <f t="shared" si="548"/>
        <v>0</v>
      </c>
      <c r="J812" s="1">
        <f t="shared" si="548"/>
        <v>4.5676582093843683</v>
      </c>
      <c r="K812" s="1">
        <f t="shared" si="548"/>
        <v>5.4780958634707186</v>
      </c>
    </row>
    <row r="813" spans="2:11" x14ac:dyDescent="0.3">
      <c r="B813" s="5" t="str">
        <f t="shared" si="503"/>
        <v>SPS3</v>
      </c>
      <c r="C813" s="5" t="str">
        <f t="shared" ref="C813:C814" si="549">C812</f>
        <v>CH</v>
      </c>
      <c r="D813" t="s">
        <v>960</v>
      </c>
      <c r="E813" t="s">
        <v>8</v>
      </c>
      <c r="F813" s="1">
        <f>[1]Industry!B$24</f>
        <v>0.74860733846002869</v>
      </c>
      <c r="G813" s="1">
        <f>[1]Industry!C$24</f>
        <v>0.94976301942943764</v>
      </c>
      <c r="H813" s="1">
        <f>[1]Industry!D$24</f>
        <v>2.2973623349247285</v>
      </c>
      <c r="I813" s="1">
        <f>[1]Industry!E$24</f>
        <v>3.1204312694874341</v>
      </c>
      <c r="J813" s="1">
        <f>[1]Industry!F$24</f>
        <v>3.1791096641103178</v>
      </c>
      <c r="K813" s="1">
        <f>[1]Industry!G$24</f>
        <v>3.5357479522051656</v>
      </c>
    </row>
    <row r="814" spans="2:11" x14ac:dyDescent="0.3">
      <c r="B814" s="5" t="str">
        <f t="shared" si="503"/>
        <v>SPS3</v>
      </c>
      <c r="C814" s="5" t="str">
        <f t="shared" si="549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0.74860733846002869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0.94976301942943764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2.2830574319908337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3.1204180564082096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3.1726901460110755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3.5119885406841602</v>
      </c>
    </row>
    <row r="815" spans="2:11" x14ac:dyDescent="0.3">
      <c r="B815" s="5" t="str">
        <f t="shared" si="503"/>
        <v>SPS3</v>
      </c>
      <c r="C815" s="5" t="str">
        <f t="shared" ref="C815:C823" si="550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51">G813-G814</f>
        <v>0</v>
      </c>
      <c r="H815" s="1">
        <f t="shared" si="551"/>
        <v>1.4304902933894859E-2</v>
      </c>
      <c r="I815" s="1">
        <f t="shared" si="551"/>
        <v>1.3213079224527746E-5</v>
      </c>
      <c r="J815" s="1">
        <f t="shared" si="551"/>
        <v>6.4195180992423495E-3</v>
      </c>
      <c r="K815" s="1">
        <f t="shared" si="551"/>
        <v>2.3759411521005358E-2</v>
      </c>
    </row>
    <row r="816" spans="2:11" x14ac:dyDescent="0.3">
      <c r="B816" s="9" t="str">
        <f t="shared" si="503"/>
        <v>SPS3</v>
      </c>
      <c r="C816" s="9" t="str">
        <f t="shared" si="550"/>
        <v>CH</v>
      </c>
      <c r="D816" s="2" t="s">
        <v>684</v>
      </c>
      <c r="E816" s="9" t="s">
        <v>8</v>
      </c>
      <c r="F816" s="17">
        <f>[1]Industry!B$71</f>
        <v>72.708782877557681</v>
      </c>
      <c r="G816" s="17">
        <f>[1]Industry!C$71</f>
        <v>74.112583998399444</v>
      </c>
      <c r="H816" s="17">
        <f>[1]Industry!D$71</f>
        <v>75.747222427666017</v>
      </c>
      <c r="I816" s="17">
        <f>[1]Industry!E$71</f>
        <v>76.679929035471346</v>
      </c>
      <c r="J816" s="17">
        <f>[1]Industry!F$71</f>
        <v>77.496702893360009</v>
      </c>
      <c r="K816" s="17">
        <f>[1]Industry!G$71</f>
        <v>77.971378455776019</v>
      </c>
    </row>
    <row r="817" spans="2:13" x14ac:dyDescent="0.3">
      <c r="B817" s="5" t="str">
        <f t="shared" si="503"/>
        <v>SPS3</v>
      </c>
      <c r="C817" s="5" t="str">
        <f t="shared" si="550"/>
        <v>CH</v>
      </c>
      <c r="D817" t="s">
        <v>2032</v>
      </c>
      <c r="E817" t="s">
        <v>8</v>
      </c>
      <c r="F817" s="18">
        <f>SUM(F818:F820)</f>
        <v>58.985696644902902</v>
      </c>
      <c r="G817" s="18">
        <f t="shared" ref="G817:K817" si="552">SUM(G818:G820)</f>
        <v>61.643987134147373</v>
      </c>
      <c r="H817" s="18">
        <f t="shared" si="552"/>
        <v>67.134037929027741</v>
      </c>
      <c r="I817" s="18">
        <f t="shared" si="552"/>
        <v>63.733570174086374</v>
      </c>
      <c r="J817" s="18">
        <f t="shared" si="552"/>
        <v>65.483122034779569</v>
      </c>
      <c r="K817" s="18">
        <f t="shared" si="552"/>
        <v>67.742421700404705</v>
      </c>
    </row>
    <row r="818" spans="2:13" x14ac:dyDescent="0.3">
      <c r="B818" s="5" t="str">
        <f t="shared" si="503"/>
        <v>SPS3</v>
      </c>
      <c r="C818" s="5" t="str">
        <f t="shared" si="550"/>
        <v>CH</v>
      </c>
      <c r="D818" t="s">
        <v>2033</v>
      </c>
      <c r="E818" t="s">
        <v>8</v>
      </c>
      <c r="F818" s="1">
        <f>[1]Industry!B$55</f>
        <v>9.8139538034048215</v>
      </c>
      <c r="G818" s="1">
        <f>[1]Industry!C$55</f>
        <v>10.335095726842891</v>
      </c>
      <c r="H818" s="1">
        <f>[1]Industry!D$55</f>
        <v>12.289845023810598</v>
      </c>
      <c r="I818" s="1">
        <f>[1]Industry!E$55</f>
        <v>12.289856301659446</v>
      </c>
      <c r="J818" s="1">
        <f>[1]Industry!F$55</f>
        <v>12.289853581343241</v>
      </c>
      <c r="K818" s="1">
        <f>[1]Industry!G$55</f>
        <v>12.289851450726616</v>
      </c>
      <c r="L818" s="1"/>
      <c r="M818" s="1"/>
    </row>
    <row r="819" spans="2:13" x14ac:dyDescent="0.3">
      <c r="B819" s="5" t="str">
        <f t="shared" si="503"/>
        <v>SPS3</v>
      </c>
      <c r="C819" s="5" t="str">
        <f t="shared" si="550"/>
        <v>CH</v>
      </c>
      <c r="D819" t="s">
        <v>2034</v>
      </c>
      <c r="E819" t="s">
        <v>8</v>
      </c>
      <c r="F819" s="1">
        <f>[1]Industry!B$56</f>
        <v>1.1083451893270853</v>
      </c>
      <c r="G819" s="1">
        <f>[1]Industry!C$56</f>
        <v>1.4008416773116621</v>
      </c>
      <c r="H819" s="1">
        <f>[1]Industry!D$56</f>
        <v>3.3487247944254062</v>
      </c>
      <c r="I819" s="1">
        <f>[1]Industry!E$56</f>
        <v>4.5363656319100052</v>
      </c>
      <c r="J819" s="1">
        <f>[1]Industry!F$56</f>
        <v>4.5363770955626155</v>
      </c>
      <c r="K819" s="1">
        <f>[1]Industry!G$56</f>
        <v>4.9458397416121844</v>
      </c>
    </row>
    <row r="820" spans="2:13" x14ac:dyDescent="0.3">
      <c r="B820" s="5" t="str">
        <f t="shared" ref="B820:B883" si="553">B819</f>
        <v>SPS3</v>
      </c>
      <c r="C820" s="5" t="str">
        <f t="shared" si="550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49.908049729992818</v>
      </c>
      <c r="H820" s="1">
        <f>[1]Industry!D$3-([1]Industry!D$6-[1]Industry!D$70)</f>
        <v>51.495468110791741</v>
      </c>
      <c r="I820" s="1">
        <f>[1]Industry!E$3-([1]Industry!E$6-[1]Industry!E$70)</f>
        <v>46.907348240516924</v>
      </c>
      <c r="J820" s="1">
        <f>[1]Industry!F$3-([1]Industry!F$6-[1]Industry!F$70)</f>
        <v>48.656891357873718</v>
      </c>
      <c r="K820" s="1">
        <f>[1]Industry!G$3-([1]Industry!G$6-[1]Industry!G$70)</f>
        <v>50.506730508065907</v>
      </c>
    </row>
    <row r="821" spans="2:13" x14ac:dyDescent="0.3">
      <c r="B821" s="5" t="str">
        <f t="shared" si="553"/>
        <v>SPS3</v>
      </c>
      <c r="C821" s="5" t="str">
        <f t="shared" si="550"/>
        <v>CH</v>
      </c>
      <c r="D821" t="s">
        <v>2036</v>
      </c>
      <c r="E821" t="s">
        <v>8</v>
      </c>
      <c r="F821" s="1">
        <f>SUM(F822:F823)</f>
        <v>8.763565409234678</v>
      </c>
      <c r="G821" s="1">
        <f t="shared" ref="G821:K821" si="554">SUM(G822:G823)</f>
        <v>7.1699674319513074</v>
      </c>
      <c r="H821" s="1">
        <f t="shared" si="554"/>
        <v>6.2073165093297131</v>
      </c>
      <c r="I821" s="1">
        <f t="shared" si="554"/>
        <v>3.8671505565965747</v>
      </c>
      <c r="J821" s="1">
        <f t="shared" si="554"/>
        <v>2.7779273618541729</v>
      </c>
      <c r="K821" s="1">
        <f t="shared" si="554"/>
        <v>1.5158823184863814</v>
      </c>
    </row>
    <row r="822" spans="2:13" x14ac:dyDescent="0.3">
      <c r="B822" s="5" t="str">
        <f t="shared" si="553"/>
        <v>SPS3</v>
      </c>
      <c r="C822" s="5" t="str">
        <f t="shared" si="550"/>
        <v>CH</v>
      </c>
      <c r="D822" t="s">
        <v>2037</v>
      </c>
      <c r="E822" t="s">
        <v>8</v>
      </c>
      <c r="F822" s="1">
        <f>[1]Industry!B$57</f>
        <v>6.9177358865685479</v>
      </c>
      <c r="G822" s="1">
        <f>[1]Industry!C$57</f>
        <v>6.3104188794499585</v>
      </c>
      <c r="H822" s="1">
        <f>[1]Industry!D$57</f>
        <v>6.1927800268811817</v>
      </c>
      <c r="I822" s="1">
        <f>[1]Industry!E$57</f>
        <v>3.8671455050492973</v>
      </c>
      <c r="J822" s="1">
        <f>[1]Industry!F$57</f>
        <v>2.7774973279268735</v>
      </c>
      <c r="K822" s="1">
        <f>[1]Industry!G$57</f>
        <v>1.5158823184863814</v>
      </c>
    </row>
    <row r="823" spans="2:13" x14ac:dyDescent="0.3">
      <c r="B823" s="5" t="str">
        <f t="shared" si="553"/>
        <v>SPS3</v>
      </c>
      <c r="C823" s="5" t="str">
        <f t="shared" si="550"/>
        <v>CH</v>
      </c>
      <c r="D823" t="s">
        <v>2038</v>
      </c>
      <c r="E823" t="s">
        <v>8</v>
      </c>
      <c r="F823" s="1">
        <f>[1]Industry!B$58</f>
        <v>1.8458295226661297</v>
      </c>
      <c r="G823" s="1">
        <f>[1]Industry!C$58</f>
        <v>0.85954855250134909</v>
      </c>
      <c r="H823" s="1">
        <f>[1]Industry!D$58</f>
        <v>1.4536482448531091E-2</v>
      </c>
      <c r="I823" s="1">
        <f>[1]Industry!E$58</f>
        <v>5.05154727749957E-6</v>
      </c>
      <c r="J823" s="1">
        <f>[1]Industry!F$58</f>
        <v>4.3003392729954517E-4</v>
      </c>
      <c r="K823" s="1">
        <f>[1]Industry!G$58</f>
        <v>0</v>
      </c>
    </row>
    <row r="824" spans="2:13" x14ac:dyDescent="0.3">
      <c r="B824" s="5" t="str">
        <f t="shared" si="553"/>
        <v>SPS3</v>
      </c>
      <c r="C824" s="5" t="str">
        <f>C823</f>
        <v>CH</v>
      </c>
      <c r="D824" t="s">
        <v>2039</v>
      </c>
      <c r="E824" t="s">
        <v>8</v>
      </c>
      <c r="F824" s="1">
        <f>SUM(F825:F827)</f>
        <v>28.930316837289187</v>
      </c>
      <c r="G824" s="1">
        <f t="shared" ref="G824:K824" si="555">SUM(G825:G827)</f>
        <v>24.844216165431213</v>
      </c>
      <c r="H824" s="1">
        <f t="shared" si="555"/>
        <v>26.385808773276946</v>
      </c>
      <c r="I824" s="1">
        <f t="shared" si="555"/>
        <v>11.409711807637063</v>
      </c>
      <c r="J824" s="1">
        <f t="shared" si="555"/>
        <v>5.9897203282233606</v>
      </c>
      <c r="K824" s="1">
        <f t="shared" si="555"/>
        <v>5.0393980301304442</v>
      </c>
    </row>
    <row r="825" spans="2:13" x14ac:dyDescent="0.3">
      <c r="B825" s="5" t="str">
        <f t="shared" si="553"/>
        <v>SPS3</v>
      </c>
      <c r="C825" s="5" t="str">
        <f t="shared" ref="C825:C854" si="556">C824</f>
        <v>CH</v>
      </c>
      <c r="D825" t="s">
        <v>2040</v>
      </c>
      <c r="E825" t="s">
        <v>8</v>
      </c>
      <c r="F825" s="1">
        <f>[1]Industry!B$59</f>
        <v>28.619789461192788</v>
      </c>
      <c r="G825" s="1">
        <f>[1]Industry!C$59</f>
        <v>24.451693977548299</v>
      </c>
      <c r="H825" s="1">
        <f>[1]Industry!D$59</f>
        <v>24.774321886299404</v>
      </c>
      <c r="I825" s="1">
        <f>[1]Industry!E$59</f>
        <v>9.8281653781179656</v>
      </c>
      <c r="J825" s="1">
        <f>[1]Industry!F$59</f>
        <v>4.3948531768522141</v>
      </c>
      <c r="K825" s="1">
        <f>[1]Industry!G$59</f>
        <v>2.2736637696590143</v>
      </c>
    </row>
    <row r="826" spans="2:13" x14ac:dyDescent="0.3">
      <c r="B826" s="5" t="str">
        <f t="shared" si="553"/>
        <v>SPS3</v>
      </c>
      <c r="C826" s="5" t="str">
        <f t="shared" si="55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3.0460893840423896E-2</v>
      </c>
      <c r="I826" s="1">
        <f>[1]Industry!E$60</f>
        <v>2.7539927725635746E-5</v>
      </c>
      <c r="J826" s="1">
        <f>[1]Industry!F$60</f>
        <v>1.2865258241037965E-2</v>
      </c>
      <c r="K826" s="1">
        <f>[1]Industry!G$60</f>
        <v>4.5972694871145359E-2</v>
      </c>
    </row>
    <row r="827" spans="2:13" x14ac:dyDescent="0.3">
      <c r="B827" s="5" t="str">
        <f t="shared" si="553"/>
        <v>SPS3</v>
      </c>
      <c r="C827" s="5" t="str">
        <f t="shared" si="556"/>
        <v>CH</v>
      </c>
      <c r="D827" t="s">
        <v>2042</v>
      </c>
      <c r="E827" t="s">
        <v>8</v>
      </c>
      <c r="F827" s="1">
        <f>[1]Industry!B$68</f>
        <v>0.31052737609639974</v>
      </c>
      <c r="G827" s="1">
        <f>[1]Industry!C$68</f>
        <v>0.39252218788291526</v>
      </c>
      <c r="H827" s="1">
        <f>[1]Industry!D$68</f>
        <v>1.5810259931371171</v>
      </c>
      <c r="I827" s="1">
        <f>[1]Industry!E$68</f>
        <v>1.581518889591373</v>
      </c>
      <c r="J827" s="1">
        <f>[1]Industry!F$68</f>
        <v>1.5820018931301087</v>
      </c>
      <c r="K827" s="1">
        <f>[1]Industry!G$68</f>
        <v>2.7197615656002845</v>
      </c>
    </row>
    <row r="828" spans="2:13" x14ac:dyDescent="0.3">
      <c r="B828" s="5" t="str">
        <f t="shared" si="553"/>
        <v>SPS3</v>
      </c>
      <c r="C828" s="5" t="str">
        <f t="shared" si="556"/>
        <v>CH</v>
      </c>
      <c r="D828" t="s">
        <v>2043</v>
      </c>
      <c r="E828" t="s">
        <v>8</v>
      </c>
      <c r="F828" s="1">
        <f>F829</f>
        <v>2.3674083984397276</v>
      </c>
      <c r="G828" s="1">
        <f t="shared" ref="G828:K828" si="557">G829</f>
        <v>2.3075030603349513</v>
      </c>
      <c r="H828" s="1">
        <f t="shared" si="557"/>
        <v>2.6269849449477807E-2</v>
      </c>
      <c r="I828" s="1">
        <f t="shared" si="557"/>
        <v>5.2556633237286512E-6</v>
      </c>
      <c r="J828" s="1">
        <f t="shared" si="557"/>
        <v>3.8245057430764257E-4</v>
      </c>
      <c r="K828" s="1">
        <f t="shared" si="557"/>
        <v>9.2896640675143964E-4</v>
      </c>
    </row>
    <row r="829" spans="2:13" x14ac:dyDescent="0.3">
      <c r="B829" s="5" t="str">
        <f t="shared" si="553"/>
        <v>SPS3</v>
      </c>
      <c r="C829" s="5" t="str">
        <f t="shared" si="556"/>
        <v>CH</v>
      </c>
      <c r="D829" t="s">
        <v>2044</v>
      </c>
      <c r="E829" t="s">
        <v>8</v>
      </c>
      <c r="F829" s="1">
        <f>[1]Industry!B$61</f>
        <v>2.3674083984397276</v>
      </c>
      <c r="G829" s="1">
        <f>[1]Industry!C$61</f>
        <v>2.3075030603349513</v>
      </c>
      <c r="H829" s="1">
        <f>[1]Industry!D$61</f>
        <v>2.6269849449477807E-2</v>
      </c>
      <c r="I829" s="1">
        <f>[1]Industry!E$61</f>
        <v>5.2556633237286512E-6</v>
      </c>
      <c r="J829" s="1">
        <f>[1]Industry!F$61</f>
        <v>3.8245057430764257E-4</v>
      </c>
      <c r="K829" s="1">
        <f>[1]Industry!G$61</f>
        <v>9.2896640675143964E-4</v>
      </c>
    </row>
    <row r="830" spans="2:13" x14ac:dyDescent="0.3">
      <c r="B830" s="5" t="str">
        <f t="shared" si="553"/>
        <v>SPS3</v>
      </c>
      <c r="C830" s="5" t="str">
        <f t="shared" si="556"/>
        <v>CH</v>
      </c>
      <c r="D830" t="s">
        <v>2045</v>
      </c>
      <c r="E830" t="s">
        <v>8</v>
      </c>
      <c r="F830" s="1">
        <f>F831+F841</f>
        <v>11.767449592581173</v>
      </c>
      <c r="G830" s="1">
        <f t="shared" ref="G830:K830" si="558">G831+G841</f>
        <v>12.635459331492241</v>
      </c>
      <c r="H830" s="1">
        <f t="shared" si="558"/>
        <v>12.429485871869424</v>
      </c>
      <c r="I830" s="1">
        <f t="shared" si="558"/>
        <v>12.093657559423463</v>
      </c>
      <c r="J830" s="1">
        <f t="shared" si="558"/>
        <v>15.235975141337885</v>
      </c>
      <c r="K830" s="1">
        <f t="shared" si="558"/>
        <v>18.671726758188928</v>
      </c>
    </row>
    <row r="831" spans="2:13" x14ac:dyDescent="0.3">
      <c r="B831" s="5" t="str">
        <f t="shared" si="553"/>
        <v>SPS3</v>
      </c>
      <c r="C831" s="5" t="str">
        <f t="shared" si="556"/>
        <v>CH</v>
      </c>
      <c r="D831" t="s">
        <v>2046</v>
      </c>
      <c r="E831" t="s">
        <v>8</v>
      </c>
      <c r="F831" s="1">
        <f>[1]Industry!B$62</f>
        <v>5.1851163771306954</v>
      </c>
      <c r="G831" s="1">
        <f>[1]Industry!C$62</f>
        <v>5.5676011227191822</v>
      </c>
      <c r="H831" s="1">
        <f>[1]Industry!D$62</f>
        <v>5.6488662993985574</v>
      </c>
      <c r="I831" s="1">
        <f>[1]Industry!E$62</f>
        <v>6.5575985178585006</v>
      </c>
      <c r="J831" s="1">
        <f>[1]Industry!F$62</f>
        <v>10.33056766760869</v>
      </c>
      <c r="K831" s="1">
        <f>[1]Industry!G$62</f>
        <v>12.434913780185063</v>
      </c>
      <c r="M831" s="1"/>
    </row>
    <row r="832" spans="2:13" x14ac:dyDescent="0.3">
      <c r="B832" s="5" t="str">
        <f t="shared" si="553"/>
        <v>SPS3</v>
      </c>
      <c r="C832" s="5" t="str">
        <f t="shared" si="556"/>
        <v>CH</v>
      </c>
      <c r="D832" t="s">
        <v>2047</v>
      </c>
      <c r="E832" t="s">
        <v>8</v>
      </c>
      <c r="F832" s="1">
        <f>IFERROR(F791/F$790,0)*F$831</f>
        <v>1.1066652787444526</v>
      </c>
      <c r="G832" s="1">
        <f t="shared" ref="G832:K832" si="559">IFERROR(G791/G$790,0)*G$831</f>
        <v>1.9704714931556138</v>
      </c>
      <c r="H832" s="1">
        <f t="shared" si="559"/>
        <v>7.109638447188775E-2</v>
      </c>
      <c r="I832" s="1">
        <f t="shared" si="559"/>
        <v>1.1061412677875502E-4</v>
      </c>
      <c r="J832" s="1">
        <f t="shared" si="559"/>
        <v>0.35098667095678338</v>
      </c>
      <c r="K832" s="1">
        <f t="shared" si="559"/>
        <v>0.36024407495007443</v>
      </c>
    </row>
    <row r="833" spans="2:13" x14ac:dyDescent="0.3">
      <c r="B833" s="5" t="str">
        <f t="shared" si="553"/>
        <v>SPS3</v>
      </c>
      <c r="C833" s="5" t="str">
        <f t="shared" si="556"/>
        <v>CH</v>
      </c>
      <c r="D833" t="s">
        <v>2048</v>
      </c>
      <c r="E833" t="s">
        <v>8</v>
      </c>
      <c r="F833" s="1">
        <f t="shared" ref="F833:K840" si="560">IFERROR(F792/F$790,0)*F$831</f>
        <v>0.98931093077046273</v>
      </c>
      <c r="G833" s="1">
        <f t="shared" si="560"/>
        <v>9.8945345714954391E-2</v>
      </c>
      <c r="H833" s="1">
        <f t="shared" si="560"/>
        <v>5.9719997698017703E-2</v>
      </c>
      <c r="I833" s="1">
        <f t="shared" si="560"/>
        <v>2.3629837940596338E-2</v>
      </c>
      <c r="J833" s="1">
        <f t="shared" si="560"/>
        <v>2.9635154459330574E-2</v>
      </c>
      <c r="K833" s="1">
        <f t="shared" si="560"/>
        <v>3.9063984285992094E-2</v>
      </c>
    </row>
    <row r="834" spans="2:13" x14ac:dyDescent="0.3">
      <c r="B834" s="5" t="str">
        <f t="shared" si="553"/>
        <v>SPS3</v>
      </c>
      <c r="C834" s="5" t="str">
        <f t="shared" si="556"/>
        <v>CH</v>
      </c>
      <c r="D834" t="s">
        <v>2049</v>
      </c>
      <c r="E834" t="s">
        <v>8</v>
      </c>
      <c r="F834" s="1">
        <f t="shared" si="560"/>
        <v>0</v>
      </c>
      <c r="G834" s="1">
        <f t="shared" si="560"/>
        <v>0</v>
      </c>
      <c r="H834" s="1">
        <f t="shared" si="560"/>
        <v>0</v>
      </c>
      <c r="I834" s="1">
        <f t="shared" si="560"/>
        <v>0</v>
      </c>
      <c r="J834" s="1">
        <f t="shared" si="560"/>
        <v>6.4421858832380812E-3</v>
      </c>
      <c r="K834" s="1">
        <f t="shared" si="560"/>
        <v>2.2716747487470993E-2</v>
      </c>
    </row>
    <row r="835" spans="2:13" x14ac:dyDescent="0.3">
      <c r="B835" s="5" t="str">
        <f t="shared" si="553"/>
        <v>SPS3</v>
      </c>
      <c r="C835" s="5" t="str">
        <f t="shared" si="556"/>
        <v>CH</v>
      </c>
      <c r="D835" t="s">
        <v>2050</v>
      </c>
      <c r="E835" t="s">
        <v>8</v>
      </c>
      <c r="F835" s="1">
        <f t="shared" si="560"/>
        <v>0</v>
      </c>
      <c r="G835" s="1">
        <f t="shared" si="560"/>
        <v>0</v>
      </c>
      <c r="H835" s="1">
        <f t="shared" si="560"/>
        <v>0</v>
      </c>
      <c r="I835" s="1">
        <f t="shared" si="560"/>
        <v>0</v>
      </c>
      <c r="J835" s="1">
        <f t="shared" si="560"/>
        <v>0.11488208893466301</v>
      </c>
      <c r="K835" s="1">
        <f t="shared" si="560"/>
        <v>3.1577625911454334E-2</v>
      </c>
    </row>
    <row r="836" spans="2:13" x14ac:dyDescent="0.3">
      <c r="B836" s="5" t="str">
        <f t="shared" si="553"/>
        <v>SPS3</v>
      </c>
      <c r="C836" s="5" t="str">
        <f t="shared" si="556"/>
        <v>CH</v>
      </c>
      <c r="D836" t="s">
        <v>2051</v>
      </c>
      <c r="E836" t="s">
        <v>8</v>
      </c>
      <c r="F836" s="1">
        <f t="shared" si="560"/>
        <v>2.3035820296704044</v>
      </c>
      <c r="G836" s="1">
        <f t="shared" si="560"/>
        <v>1.7691714733057853</v>
      </c>
      <c r="H836" s="1">
        <f t="shared" si="560"/>
        <v>2.3717127784268413</v>
      </c>
      <c r="I836" s="1">
        <f t="shared" si="560"/>
        <v>2.171207027192894</v>
      </c>
      <c r="J836" s="1">
        <f t="shared" si="560"/>
        <v>3.0462197631731236</v>
      </c>
      <c r="K836" s="1">
        <f t="shared" si="560"/>
        <v>1.6171152652450639E-3</v>
      </c>
    </row>
    <row r="837" spans="2:13" x14ac:dyDescent="0.3">
      <c r="B837" s="5" t="str">
        <f t="shared" si="553"/>
        <v>SPS3</v>
      </c>
      <c r="C837" s="5" t="str">
        <f t="shared" si="556"/>
        <v>CH</v>
      </c>
      <c r="D837" t="s">
        <v>2052</v>
      </c>
      <c r="E837" t="s">
        <v>8</v>
      </c>
      <c r="F837" s="1">
        <f t="shared" si="560"/>
        <v>0</v>
      </c>
      <c r="G837" s="1">
        <f t="shared" si="560"/>
        <v>0</v>
      </c>
      <c r="H837" s="1">
        <f t="shared" si="560"/>
        <v>0</v>
      </c>
      <c r="I837" s="1">
        <f t="shared" si="560"/>
        <v>0</v>
      </c>
      <c r="J837" s="1">
        <f t="shared" si="560"/>
        <v>5.3606324246657566E-2</v>
      </c>
      <c r="K837" s="1">
        <f t="shared" si="560"/>
        <v>1.9036715860983122</v>
      </c>
    </row>
    <row r="838" spans="2:13" x14ac:dyDescent="0.3">
      <c r="B838" s="5" t="str">
        <f t="shared" si="553"/>
        <v>SPS3</v>
      </c>
      <c r="C838" s="5" t="str">
        <f t="shared" si="556"/>
        <v>CH</v>
      </c>
      <c r="D838" t="s">
        <v>2053</v>
      </c>
      <c r="E838" t="s">
        <v>8</v>
      </c>
      <c r="F838" s="1">
        <f t="shared" si="560"/>
        <v>0.78555813794537632</v>
      </c>
      <c r="G838" s="1">
        <f t="shared" si="560"/>
        <v>1.7290128105428288</v>
      </c>
      <c r="H838" s="1">
        <f t="shared" si="560"/>
        <v>3.1463371388018104</v>
      </c>
      <c r="I838" s="1">
        <f t="shared" si="560"/>
        <v>4.3626510385982309</v>
      </c>
      <c r="J838" s="1">
        <f t="shared" si="560"/>
        <v>2.3451580680085833</v>
      </c>
      <c r="K838" s="1">
        <f t="shared" si="560"/>
        <v>0.62100055299321633</v>
      </c>
    </row>
    <row r="839" spans="2:13" x14ac:dyDescent="0.3">
      <c r="B839" s="5" t="str">
        <f t="shared" si="553"/>
        <v>SPS3</v>
      </c>
      <c r="C839" s="5" t="str">
        <f t="shared" si="556"/>
        <v>CH</v>
      </c>
      <c r="D839" t="s">
        <v>2054</v>
      </c>
      <c r="E839" t="s">
        <v>8</v>
      </c>
      <c r="F839" s="1">
        <f t="shared" si="560"/>
        <v>0</v>
      </c>
      <c r="G839" s="1">
        <f t="shared" si="560"/>
        <v>0</v>
      </c>
      <c r="H839" s="1">
        <f t="shared" si="560"/>
        <v>0</v>
      </c>
      <c r="I839" s="1">
        <f t="shared" si="560"/>
        <v>0</v>
      </c>
      <c r="J839" s="1">
        <f t="shared" si="560"/>
        <v>4.3801654994499932</v>
      </c>
      <c r="K839" s="1">
        <f t="shared" si="560"/>
        <v>7.1087780026240202</v>
      </c>
    </row>
    <row r="840" spans="2:13" x14ac:dyDescent="0.3">
      <c r="B840" s="5" t="str">
        <f t="shared" si="553"/>
        <v>SPS3</v>
      </c>
      <c r="C840" s="5" t="str">
        <f t="shared" si="556"/>
        <v>CH</v>
      </c>
      <c r="D840" t="s">
        <v>2055</v>
      </c>
      <c r="E840" t="s">
        <v>8</v>
      </c>
      <c r="F840" s="1">
        <f t="shared" si="560"/>
        <v>0</v>
      </c>
      <c r="G840" s="1">
        <f t="shared" si="560"/>
        <v>0</v>
      </c>
      <c r="H840" s="1">
        <f t="shared" si="560"/>
        <v>0</v>
      </c>
      <c r="I840" s="1">
        <f t="shared" si="560"/>
        <v>0</v>
      </c>
      <c r="J840" s="1">
        <f t="shared" si="560"/>
        <v>3.4719124963184991E-3</v>
      </c>
      <c r="K840" s="1">
        <f t="shared" si="560"/>
        <v>2.3462440905692792</v>
      </c>
      <c r="M840" s="1"/>
    </row>
    <row r="841" spans="2:13" x14ac:dyDescent="0.3">
      <c r="B841" s="5" t="str">
        <f t="shared" si="553"/>
        <v>SPS3</v>
      </c>
      <c r="C841" s="5" t="str">
        <f t="shared" si="556"/>
        <v>CH</v>
      </c>
      <c r="D841" t="s">
        <v>2056</v>
      </c>
      <c r="E841" t="s">
        <v>8</v>
      </c>
      <c r="F841" s="1">
        <f>[1]Industry!B$63</f>
        <v>6.5823332154504781</v>
      </c>
      <c r="G841" s="1">
        <f>[1]Industry!C$63</f>
        <v>7.0678582087730586</v>
      </c>
      <c r="H841" s="1">
        <f>[1]Industry!D$63</f>
        <v>6.780619572470866</v>
      </c>
      <c r="I841" s="1">
        <f>[1]Industry!E$63</f>
        <v>5.536059041564962</v>
      </c>
      <c r="J841" s="1">
        <f>[1]Industry!F$63</f>
        <v>4.9054074737291939</v>
      </c>
      <c r="K841" s="1">
        <f>[1]Industry!G$63</f>
        <v>6.236812978003865</v>
      </c>
    </row>
    <row r="842" spans="2:13" x14ac:dyDescent="0.3">
      <c r="B842" s="5" t="str">
        <f t="shared" si="553"/>
        <v>SPS3</v>
      </c>
      <c r="C842" s="5" t="str">
        <f t="shared" si="556"/>
        <v>CH</v>
      </c>
      <c r="D842" t="s">
        <v>2057</v>
      </c>
      <c r="E842" t="s">
        <v>8</v>
      </c>
      <c r="F842" s="1">
        <f>F843</f>
        <v>5.3111364704420101</v>
      </c>
      <c r="G842" s="1">
        <f t="shared" ref="G842:K842" si="561">G843</f>
        <v>6.2669431844067498</v>
      </c>
      <c r="H842" s="1">
        <f t="shared" si="561"/>
        <v>5.7760688042066208</v>
      </c>
      <c r="I842" s="1">
        <f t="shared" si="561"/>
        <v>5.2280991136798249</v>
      </c>
      <c r="J842" s="1">
        <f t="shared" si="561"/>
        <v>6.7222757561876518</v>
      </c>
      <c r="K842" s="1">
        <f t="shared" si="561"/>
        <v>4.1216407845461251</v>
      </c>
    </row>
    <row r="843" spans="2:13" x14ac:dyDescent="0.3">
      <c r="B843" s="5" t="str">
        <f t="shared" si="553"/>
        <v>SPS3</v>
      </c>
      <c r="C843" s="5" t="str">
        <f t="shared" si="556"/>
        <v>CH</v>
      </c>
      <c r="D843" t="s">
        <v>2058</v>
      </c>
      <c r="E843" t="s">
        <v>8</v>
      </c>
      <c r="F843" s="1">
        <f>[1]Industry!B$64</f>
        <v>5.3111364704420101</v>
      </c>
      <c r="G843" s="1">
        <f>[1]Industry!C$64</f>
        <v>6.2669431844067498</v>
      </c>
      <c r="H843" s="1">
        <f>[1]Industry!D$64</f>
        <v>5.7760688042066208</v>
      </c>
      <c r="I843" s="1">
        <f>[1]Industry!E$64</f>
        <v>5.2280991136798249</v>
      </c>
      <c r="J843" s="1">
        <f>[1]Industry!F$64</f>
        <v>6.7222757561876518</v>
      </c>
      <c r="K843" s="1">
        <f>[1]Industry!G$64</f>
        <v>4.1216407845461251</v>
      </c>
    </row>
    <row r="844" spans="2:13" x14ac:dyDescent="0.3">
      <c r="B844" s="5" t="str">
        <f t="shared" si="553"/>
        <v>SPS3</v>
      </c>
      <c r="C844" s="5" t="str">
        <f t="shared" si="556"/>
        <v>CH</v>
      </c>
      <c r="D844" t="s">
        <v>2059</v>
      </c>
      <c r="E844" t="s">
        <v>8</v>
      </c>
      <c r="F844" s="1">
        <f>F845</f>
        <v>0.4615290504604127</v>
      </c>
      <c r="G844" s="1">
        <f t="shared" ref="G844:K844" si="562">G845</f>
        <v>0.54457801726430388</v>
      </c>
      <c r="H844" s="1">
        <f t="shared" si="562"/>
        <v>0.54458126003005547</v>
      </c>
      <c r="I844" s="1">
        <f t="shared" si="562"/>
        <v>0.54457942424147043</v>
      </c>
      <c r="J844" s="1">
        <f t="shared" si="562"/>
        <v>0.5528601360761054</v>
      </c>
      <c r="K844" s="1">
        <f t="shared" si="562"/>
        <v>0.5535288671534403</v>
      </c>
    </row>
    <row r="845" spans="2:13" x14ac:dyDescent="0.3">
      <c r="B845" s="5" t="str">
        <f t="shared" si="553"/>
        <v>SPS3</v>
      </c>
      <c r="C845" s="5" t="str">
        <f t="shared" si="556"/>
        <v>CH</v>
      </c>
      <c r="D845" t="s">
        <v>2060</v>
      </c>
      <c r="E845" t="s">
        <v>8</v>
      </c>
      <c r="F845" s="1">
        <f>[1]Industry!B$65</f>
        <v>0.4615290504604127</v>
      </c>
      <c r="G845" s="1">
        <f>[1]Industry!C$65</f>
        <v>0.54457801726430388</v>
      </c>
      <c r="H845" s="1">
        <f>[1]Industry!D$65</f>
        <v>0.54458126003005547</v>
      </c>
      <c r="I845" s="1">
        <f>[1]Industry!E$65</f>
        <v>0.54457942424147043</v>
      </c>
      <c r="J845" s="1">
        <f>[1]Industry!F$65</f>
        <v>0.5528601360761054</v>
      </c>
      <c r="K845" s="1">
        <f>[1]Industry!G$65</f>
        <v>0.5535288671534403</v>
      </c>
    </row>
    <row r="846" spans="2:13" x14ac:dyDescent="0.3">
      <c r="B846" s="5" t="str">
        <f t="shared" si="553"/>
        <v>SPS3</v>
      </c>
      <c r="C846" s="5" t="str">
        <f t="shared" si="556"/>
        <v>CH</v>
      </c>
      <c r="D846" t="s">
        <v>2061</v>
      </c>
      <c r="E846" t="s">
        <v>8</v>
      </c>
      <c r="F846" s="1">
        <f>F847</f>
        <v>4.1173734464920395</v>
      </c>
      <c r="G846" s="1">
        <f t="shared" ref="G846:K846" si="563">G847</f>
        <v>4.2663807136016025</v>
      </c>
      <c r="H846" s="1">
        <f t="shared" si="563"/>
        <v>2.9612196107854785</v>
      </c>
      <c r="I846" s="1">
        <f t="shared" si="563"/>
        <v>3.0228344219705865</v>
      </c>
      <c r="J846" s="1">
        <f t="shared" si="563"/>
        <v>0.11467493076270416</v>
      </c>
      <c r="K846" s="1">
        <f t="shared" si="563"/>
        <v>2.0066920568562827E-3</v>
      </c>
    </row>
    <row r="847" spans="2:13" x14ac:dyDescent="0.3">
      <c r="B847" s="5" t="str">
        <f t="shared" si="553"/>
        <v>SPS3</v>
      </c>
      <c r="C847" s="5" t="str">
        <f t="shared" si="556"/>
        <v>CH</v>
      </c>
      <c r="D847" t="s">
        <v>2062</v>
      </c>
      <c r="E847" t="s">
        <v>8</v>
      </c>
      <c r="F847" s="1">
        <f>[1]Industry!B$66</f>
        <v>4.1173734464920395</v>
      </c>
      <c r="G847" s="1">
        <f>[1]Industry!C$66</f>
        <v>4.2663807136016025</v>
      </c>
      <c r="H847" s="1">
        <f>[1]Industry!D$66</f>
        <v>2.9612196107854785</v>
      </c>
      <c r="I847" s="1">
        <f>[1]Industry!E$66</f>
        <v>3.0228344219705865</v>
      </c>
      <c r="J847" s="1">
        <f>[1]Industry!F$66</f>
        <v>0.11467493076270416</v>
      </c>
      <c r="K847" s="1">
        <f>[1]Industry!G$66</f>
        <v>2.0066920568562827E-3</v>
      </c>
    </row>
    <row r="848" spans="2:13" x14ac:dyDescent="0.3">
      <c r="B848" s="5" t="str">
        <f t="shared" si="553"/>
        <v>SPS3</v>
      </c>
      <c r="C848" s="5" t="str">
        <f t="shared" si="556"/>
        <v>CH</v>
      </c>
      <c r="D848" t="s">
        <v>2063</v>
      </c>
      <c r="E848" t="s">
        <v>8</v>
      </c>
      <c r="F848" s="1">
        <f>F849</f>
        <v>6.7704679886547492E-2</v>
      </c>
      <c r="G848" s="1">
        <f t="shared" ref="G848:K848" si="564">G849</f>
        <v>8.5522872062227848E-2</v>
      </c>
      <c r="H848" s="1">
        <f t="shared" si="564"/>
        <v>1.520889332072942</v>
      </c>
      <c r="I848" s="1">
        <f t="shared" si="564"/>
        <v>2.3297968911711315</v>
      </c>
      <c r="J848" s="1">
        <f t="shared" si="564"/>
        <v>0.87121893147543927</v>
      </c>
      <c r="K848" s="1">
        <f t="shared" si="564"/>
        <v>1.4457802653556746</v>
      </c>
    </row>
    <row r="849" spans="2:11" x14ac:dyDescent="0.3">
      <c r="B849" s="5" t="str">
        <f t="shared" si="553"/>
        <v>SPS3</v>
      </c>
      <c r="C849" s="5" t="str">
        <f t="shared" si="556"/>
        <v>CH</v>
      </c>
      <c r="D849" t="s">
        <v>2064</v>
      </c>
      <c r="E849" t="s">
        <v>8</v>
      </c>
      <c r="F849" s="1">
        <f>[1]Industry!B$67</f>
        <v>6.7704679886547492E-2</v>
      </c>
      <c r="G849" s="1">
        <f>[1]Industry!C$67</f>
        <v>8.5522872062227848E-2</v>
      </c>
      <c r="H849" s="1">
        <f>[1]Industry!D$67</f>
        <v>1.520889332072942</v>
      </c>
      <c r="I849" s="1">
        <f>[1]Industry!E$67</f>
        <v>2.3297968911711315</v>
      </c>
      <c r="J849" s="1">
        <f>[1]Industry!F$67</f>
        <v>0.87121893147543927</v>
      </c>
      <c r="K849" s="1">
        <f>[1]Industry!G$67</f>
        <v>1.4457802653556746</v>
      </c>
    </row>
    <row r="850" spans="2:11" x14ac:dyDescent="0.3">
      <c r="B850" s="5" t="str">
        <f t="shared" si="553"/>
        <v>SPS3</v>
      </c>
      <c r="C850" s="5" t="str">
        <f t="shared" si="55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65">G851</f>
        <v>0</v>
      </c>
      <c r="H850" s="1">
        <f t="shared" si="565"/>
        <v>0</v>
      </c>
      <c r="I850" s="1">
        <f t="shared" si="565"/>
        <v>0</v>
      </c>
      <c r="J850" s="1">
        <f t="shared" si="565"/>
        <v>3.5616100530849142</v>
      </c>
      <c r="K850" s="1">
        <f t="shared" si="565"/>
        <v>4.3876195774192484</v>
      </c>
    </row>
    <row r="851" spans="2:11" x14ac:dyDescent="0.3">
      <c r="B851" s="5" t="str">
        <f t="shared" si="553"/>
        <v>SPS3</v>
      </c>
      <c r="C851" s="5" t="str">
        <f t="shared" si="55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0</v>
      </c>
      <c r="J851" s="1">
        <f>[1]Industry!F$69</f>
        <v>3.5616100530849142</v>
      </c>
      <c r="K851" s="1">
        <f>[1]Industry!G$69</f>
        <v>4.3876195774192484</v>
      </c>
    </row>
    <row r="852" spans="2:11" x14ac:dyDescent="0.3">
      <c r="B852" s="5" t="str">
        <f t="shared" si="553"/>
        <v>SPS3</v>
      </c>
      <c r="C852" s="5" t="str">
        <f t="shared" si="55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66">SUM(G853:G854)</f>
        <v>4.8949231834864513</v>
      </c>
      <c r="H852" s="1">
        <f t="shared" si="566"/>
        <v>4.896138238679999</v>
      </c>
      <c r="I852" s="1">
        <f t="shared" si="566"/>
        <v>28.036034650825123</v>
      </c>
      <c r="J852" s="1">
        <f t="shared" si="566"/>
        <v>31.253260767517897</v>
      </c>
      <c r="K852" s="1">
        <f t="shared" si="566"/>
        <v>31.253302295032132</v>
      </c>
    </row>
    <row r="853" spans="2:11" x14ac:dyDescent="0.3">
      <c r="B853" s="5" t="str">
        <f t="shared" si="553"/>
        <v>SPS3</v>
      </c>
      <c r="C853" s="5" t="str">
        <f t="shared" si="55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0.63884736578616241</v>
      </c>
      <c r="H853" s="1">
        <f>[1]Industry!D$6-H854</f>
        <v>0.63912564027063379</v>
      </c>
      <c r="I853" s="1">
        <f>[1]Industry!E$6-I854</f>
        <v>6.6781625793066581</v>
      </c>
      <c r="J853" s="1">
        <f>[1]Industry!F$6-J854</f>
        <v>6.4094336406402697</v>
      </c>
      <c r="K853" s="1">
        <f>[1]Industry!G$6-K854</f>
        <v>6.256127291338764</v>
      </c>
    </row>
    <row r="854" spans="2:11" x14ac:dyDescent="0.3">
      <c r="B854" s="5" t="str">
        <f t="shared" si="553"/>
        <v>SPS3</v>
      </c>
      <c r="C854" s="5" t="str">
        <f t="shared" si="55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4.2560758177002889</v>
      </c>
      <c r="H854" s="1">
        <f>[1]Industry!D$70</f>
        <v>4.2570125984093652</v>
      </c>
      <c r="I854" s="1">
        <f>[1]Industry!E$70</f>
        <v>21.357872071518464</v>
      </c>
      <c r="J854" s="1">
        <f>[1]Industry!F$70</f>
        <v>24.843827126877628</v>
      </c>
      <c r="K854" s="1">
        <f>[1]Industry!G$70</f>
        <v>24.997175003693368</v>
      </c>
    </row>
    <row r="855" spans="2:11" x14ac:dyDescent="0.3">
      <c r="B855" s="9" t="str">
        <f t="shared" si="553"/>
        <v>SPS3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3">
      <c r="B856" s="5" t="str">
        <f t="shared" si="553"/>
        <v>SPS3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0.84261542941328504</v>
      </c>
      <c r="G856" s="4">
        <f t="shared" ref="G856:K856" si="567">IFERROR(G818/G763,"-")</f>
        <v>0.843062365139852</v>
      </c>
      <c r="H856" s="4">
        <f t="shared" si="567"/>
        <v>0.84373276872970659</v>
      </c>
      <c r="I856" s="4">
        <f t="shared" si="567"/>
        <v>0.8448501080461297</v>
      </c>
      <c r="J856" s="4">
        <f t="shared" si="567"/>
        <v>0.84708478667897835</v>
      </c>
      <c r="K856" s="4">
        <f t="shared" si="567"/>
        <v>0.84931946531182301</v>
      </c>
    </row>
    <row r="857" spans="2:11" x14ac:dyDescent="0.3">
      <c r="B857" s="5" t="str">
        <f t="shared" si="553"/>
        <v>SPS3</v>
      </c>
      <c r="C857" s="5" t="str">
        <f t="shared" ref="C857:C879" si="568">C856</f>
        <v>CH</v>
      </c>
      <c r="D857" t="s">
        <v>2071</v>
      </c>
      <c r="E857" t="s">
        <v>240</v>
      </c>
      <c r="F857" s="4">
        <f t="shared" ref="F857:K857" si="569">IFERROR(F819/F764,"-")</f>
        <v>3.0809801822513294</v>
      </c>
      <c r="G857" s="4">
        <f t="shared" si="569"/>
        <v>3.1055374774069193</v>
      </c>
      <c r="H857" s="4">
        <f t="shared" si="569"/>
        <v>3.1423734201402875</v>
      </c>
      <c r="I857" s="4">
        <f t="shared" si="569"/>
        <v>3.2037666580292483</v>
      </c>
      <c r="J857" s="4">
        <f t="shared" si="569"/>
        <v>3.3265531338071699</v>
      </c>
      <c r="K857" s="4">
        <f t="shared" si="569"/>
        <v>3.4493396095850906</v>
      </c>
    </row>
    <row r="858" spans="2:11" x14ac:dyDescent="0.3">
      <c r="B858" s="5" t="str">
        <f t="shared" si="553"/>
        <v>SPS3</v>
      </c>
      <c r="C858" s="5" t="str">
        <f t="shared" si="568"/>
        <v>CH</v>
      </c>
      <c r="D858" t="s">
        <v>2072</v>
      </c>
      <c r="E858" t="s">
        <v>240</v>
      </c>
      <c r="F858" s="4">
        <f t="shared" ref="F858:K858" si="570">IFERROR(F820/F765,"-")</f>
        <v>1</v>
      </c>
      <c r="G858" s="4">
        <f t="shared" si="570"/>
        <v>0.9999998192660462</v>
      </c>
      <c r="H858" s="4">
        <f t="shared" si="570"/>
        <v>0.99999982299360057</v>
      </c>
      <c r="I858" s="4">
        <f t="shared" si="570"/>
        <v>1.0153716165200699</v>
      </c>
      <c r="J858" s="4">
        <f t="shared" si="570"/>
        <v>1.0266976848364915</v>
      </c>
      <c r="K858" s="4">
        <f t="shared" si="570"/>
        <v>1.0222182207409365</v>
      </c>
    </row>
    <row r="859" spans="2:11" x14ac:dyDescent="0.3">
      <c r="B859" s="5" t="str">
        <f t="shared" si="553"/>
        <v>SPS3</v>
      </c>
      <c r="C859" s="5" t="str">
        <f t="shared" si="568"/>
        <v>CH</v>
      </c>
      <c r="D859" t="s">
        <v>2073</v>
      </c>
      <c r="E859" t="s">
        <v>240</v>
      </c>
      <c r="F859" s="4">
        <f>IFERROR(F822/F767,"-")</f>
        <v>0.77746213224363458</v>
      </c>
      <c r="G859" s="4">
        <f t="shared" ref="G859:K860" si="571">IFERROR(G822/G767,"-")</f>
        <v>0.77871988564932393</v>
      </c>
      <c r="H859" s="4">
        <f t="shared" si="571"/>
        <v>0.78060651575785611</v>
      </c>
      <c r="I859" s="4">
        <f t="shared" si="571"/>
        <v>0.78375089927207786</v>
      </c>
      <c r="J859" s="4">
        <f t="shared" si="571"/>
        <v>0.79003966630051892</v>
      </c>
      <c r="K859" s="4">
        <f t="shared" si="571"/>
        <v>0.79632843332896053</v>
      </c>
    </row>
    <row r="860" spans="2:11" x14ac:dyDescent="0.3">
      <c r="B860" s="5" t="str">
        <f t="shared" si="553"/>
        <v>SPS3</v>
      </c>
      <c r="C860" s="5" t="str">
        <f t="shared" si="568"/>
        <v>CH</v>
      </c>
      <c r="D860" t="s">
        <v>2074</v>
      </c>
      <c r="E860" t="s">
        <v>240</v>
      </c>
      <c r="F860" s="4">
        <f>IFERROR(F823/F768,"-")</f>
        <v>0.6761250000000002</v>
      </c>
      <c r="G860" s="4">
        <f t="shared" si="571"/>
        <v>0.67904999999999982</v>
      </c>
      <c r="H860" s="4">
        <f t="shared" si="571"/>
        <v>0.68343750000000036</v>
      </c>
      <c r="I860" s="4">
        <f t="shared" si="571"/>
        <v>0.69074999999999998</v>
      </c>
      <c r="J860" s="4">
        <f t="shared" si="571"/>
        <v>0.70537500000000086</v>
      </c>
      <c r="K860" s="4" t="str">
        <f t="shared" si="571"/>
        <v>-</v>
      </c>
    </row>
    <row r="861" spans="2:11" x14ac:dyDescent="0.3">
      <c r="B861" s="5" t="str">
        <f t="shared" si="553"/>
        <v>SPS3</v>
      </c>
      <c r="C861" s="5" t="str">
        <f t="shared" si="568"/>
        <v>CH</v>
      </c>
      <c r="D861" t="s">
        <v>2075</v>
      </c>
      <c r="E861" t="s">
        <v>240</v>
      </c>
      <c r="F861" s="4">
        <f>IFERROR(F825/F777,"-")</f>
        <v>0.8051493067586637</v>
      </c>
      <c r="G861" s="4">
        <f t="shared" ref="G861:K863" si="572">IFERROR(G825/G777,"-")</f>
        <v>0.806298124856757</v>
      </c>
      <c r="H861" s="4">
        <f t="shared" si="572"/>
        <v>0.80634066448706376</v>
      </c>
      <c r="I861" s="4">
        <f t="shared" si="572"/>
        <v>0.80852549712214739</v>
      </c>
      <c r="J861" s="4">
        <f t="shared" si="572"/>
        <v>0.83617502430345647</v>
      </c>
      <c r="K861" s="4">
        <f t="shared" si="572"/>
        <v>0.83129926551993727</v>
      </c>
    </row>
    <row r="862" spans="2:11" x14ac:dyDescent="0.3">
      <c r="B862" s="5" t="str">
        <f t="shared" si="553"/>
        <v>SPS3</v>
      </c>
      <c r="C862" s="5" t="str">
        <f t="shared" si="568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572"/>
        <v>0</v>
      </c>
      <c r="H862" s="4" t="str">
        <f t="shared" si="572"/>
        <v>-</v>
      </c>
      <c r="I862" s="4" t="str">
        <f t="shared" si="572"/>
        <v>-</v>
      </c>
      <c r="J862" s="4" t="str">
        <f t="shared" si="572"/>
        <v>-</v>
      </c>
      <c r="K862" s="4" t="str">
        <f t="shared" si="572"/>
        <v>-</v>
      </c>
    </row>
    <row r="863" spans="2:11" x14ac:dyDescent="0.3">
      <c r="B863" s="5" t="str">
        <f t="shared" si="553"/>
        <v>SPS3</v>
      </c>
      <c r="C863" s="5" t="str">
        <f t="shared" si="568"/>
        <v>CH</v>
      </c>
      <c r="D863" t="s">
        <v>2077</v>
      </c>
      <c r="E863" t="s">
        <v>240</v>
      </c>
      <c r="F863" s="4">
        <f>IFERROR(F827/F779,"-")</f>
        <v>0.70065931285091199</v>
      </c>
      <c r="G863" s="4">
        <f t="shared" si="572"/>
        <v>0.68349854077918148</v>
      </c>
      <c r="H863" s="4">
        <f t="shared" si="572"/>
        <v>0.71100000000000041</v>
      </c>
      <c r="I863" s="4">
        <f t="shared" si="572"/>
        <v>0.71100000000000041</v>
      </c>
      <c r="J863" s="4">
        <f t="shared" si="572"/>
        <v>0.71100000000000052</v>
      </c>
      <c r="K863" s="4">
        <f t="shared" si="572"/>
        <v>0.72</v>
      </c>
    </row>
    <row r="864" spans="2:11" x14ac:dyDescent="0.3">
      <c r="B864" s="5" t="str">
        <f t="shared" si="553"/>
        <v>SPS3</v>
      </c>
      <c r="C864" s="5" t="str">
        <f t="shared" si="568"/>
        <v>CH</v>
      </c>
      <c r="D864" t="s">
        <v>2078</v>
      </c>
      <c r="E864" t="s">
        <v>240</v>
      </c>
      <c r="F864" s="4">
        <f>IFERROR(F829/F788,"-")</f>
        <v>0.66499999999999948</v>
      </c>
      <c r="G864" s="4">
        <f t="shared" ref="G864:K864" si="573">IFERROR(G829/G788,"-")</f>
        <v>0.66599999999999959</v>
      </c>
      <c r="H864" s="4">
        <f t="shared" si="573"/>
        <v>0.66750000000000009</v>
      </c>
      <c r="I864" s="4">
        <f t="shared" si="573"/>
        <v>0.66999999999999971</v>
      </c>
      <c r="J864" s="4">
        <f t="shared" si="573"/>
        <v>0.67499999999999993</v>
      </c>
      <c r="K864" s="4">
        <f t="shared" si="573"/>
        <v>0.68000000000000027</v>
      </c>
    </row>
    <row r="865" spans="2:12" x14ac:dyDescent="0.3">
      <c r="B865" s="5" t="str">
        <f t="shared" si="553"/>
        <v>SPS3</v>
      </c>
      <c r="C865" s="5" t="str">
        <f t="shared" si="568"/>
        <v>CH</v>
      </c>
      <c r="D865" t="s">
        <v>2079</v>
      </c>
      <c r="E865" t="s">
        <v>240</v>
      </c>
      <c r="F865" s="4">
        <f>IFERROR(F832/F791,"-")</f>
        <v>1.1905470872569064</v>
      </c>
      <c r="G865" s="4">
        <f t="shared" ref="G865:K865" si="574">IFERROR(G832/G791,"-")</f>
        <v>0.95176942894868188</v>
      </c>
      <c r="H865" s="4">
        <f t="shared" si="574"/>
        <v>0.92996289045069003</v>
      </c>
      <c r="I865" s="4">
        <f t="shared" si="574"/>
        <v>0.9375350288087585</v>
      </c>
      <c r="J865" s="4">
        <f t="shared" si="574"/>
        <v>0.94007484893128579</v>
      </c>
      <c r="K865" s="4">
        <f t="shared" si="574"/>
        <v>0.94739827845336255</v>
      </c>
    </row>
    <row r="866" spans="2:12" x14ac:dyDescent="0.3">
      <c r="B866" s="5" t="str">
        <f t="shared" si="553"/>
        <v>SPS3</v>
      </c>
      <c r="C866" s="5" t="str">
        <f t="shared" si="568"/>
        <v>CH</v>
      </c>
      <c r="D866" t="s">
        <v>2080</v>
      </c>
      <c r="E866" t="s">
        <v>240</v>
      </c>
      <c r="F866" s="4">
        <f t="shared" ref="F866:K874" si="575">IFERROR(F833/F792,"-")</f>
        <v>1.1905470872569064</v>
      </c>
      <c r="G866" s="4">
        <f t="shared" si="575"/>
        <v>0.95176942894868188</v>
      </c>
      <c r="H866" s="4">
        <f t="shared" si="575"/>
        <v>0.92996289045069014</v>
      </c>
      <c r="I866" s="4">
        <f t="shared" si="575"/>
        <v>0.93753502880875839</v>
      </c>
      <c r="J866" s="4">
        <f t="shared" si="575"/>
        <v>0.94007484893128568</v>
      </c>
      <c r="K866" s="4">
        <f t="shared" si="575"/>
        <v>0.94739827845336255</v>
      </c>
    </row>
    <row r="867" spans="2:12" x14ac:dyDescent="0.3">
      <c r="B867" s="5" t="str">
        <f t="shared" si="553"/>
        <v>SPS3</v>
      </c>
      <c r="C867" s="5" t="str">
        <f t="shared" si="568"/>
        <v>CH</v>
      </c>
      <c r="D867" t="s">
        <v>2081</v>
      </c>
      <c r="E867" t="s">
        <v>240</v>
      </c>
      <c r="F867" s="4" t="str">
        <f t="shared" si="575"/>
        <v>-</v>
      </c>
      <c r="G867" s="4" t="str">
        <f t="shared" si="575"/>
        <v>-</v>
      </c>
      <c r="H867" s="4" t="str">
        <f t="shared" si="575"/>
        <v>-</v>
      </c>
      <c r="I867" s="4" t="str">
        <f t="shared" si="575"/>
        <v>-</v>
      </c>
      <c r="J867" s="4">
        <f t="shared" si="575"/>
        <v>0.94007484893128579</v>
      </c>
      <c r="K867" s="4">
        <f t="shared" si="575"/>
        <v>0.94739827845336244</v>
      </c>
    </row>
    <row r="868" spans="2:12" x14ac:dyDescent="0.3">
      <c r="B868" s="5" t="str">
        <f t="shared" si="553"/>
        <v>SPS3</v>
      </c>
      <c r="C868" s="5" t="str">
        <f t="shared" si="568"/>
        <v>CH</v>
      </c>
      <c r="D868" t="s">
        <v>2082</v>
      </c>
      <c r="E868" t="s">
        <v>240</v>
      </c>
      <c r="F868" s="4" t="str">
        <f t="shared" si="575"/>
        <v>-</v>
      </c>
      <c r="G868" s="4" t="str">
        <f t="shared" si="575"/>
        <v>-</v>
      </c>
      <c r="H868" s="4" t="str">
        <f t="shared" si="575"/>
        <v>-</v>
      </c>
      <c r="I868" s="4" t="str">
        <f t="shared" si="575"/>
        <v>-</v>
      </c>
      <c r="J868" s="4">
        <f t="shared" si="575"/>
        <v>0.94007484893128579</v>
      </c>
      <c r="K868" s="4">
        <f t="shared" si="575"/>
        <v>0.94739827845336244</v>
      </c>
    </row>
    <row r="869" spans="2:12" x14ac:dyDescent="0.3">
      <c r="B869" s="5" t="str">
        <f t="shared" si="553"/>
        <v>SPS3</v>
      </c>
      <c r="C869" s="5" t="str">
        <f t="shared" si="568"/>
        <v>CH</v>
      </c>
      <c r="D869" t="s">
        <v>2083</v>
      </c>
      <c r="E869" t="s">
        <v>240</v>
      </c>
      <c r="F869" s="4">
        <f t="shared" si="575"/>
        <v>1.1905470872569064</v>
      </c>
      <c r="G869" s="4">
        <f t="shared" si="575"/>
        <v>0.95176942894868177</v>
      </c>
      <c r="H869" s="4">
        <f t="shared" si="575"/>
        <v>0.92996289045069003</v>
      </c>
      <c r="I869" s="4">
        <f t="shared" si="575"/>
        <v>0.93753502880875861</v>
      </c>
      <c r="J869" s="4">
        <f t="shared" si="575"/>
        <v>0.9400748489312859</v>
      </c>
      <c r="K869" s="4">
        <f t="shared" si="575"/>
        <v>0.94739827845336255</v>
      </c>
    </row>
    <row r="870" spans="2:12" x14ac:dyDescent="0.3">
      <c r="B870" s="5" t="str">
        <f t="shared" si="553"/>
        <v>SPS3</v>
      </c>
      <c r="C870" s="5" t="str">
        <f t="shared" si="568"/>
        <v>CH</v>
      </c>
      <c r="D870" t="s">
        <v>2084</v>
      </c>
      <c r="E870" t="s">
        <v>240</v>
      </c>
      <c r="F870" s="4" t="str">
        <f t="shared" si="575"/>
        <v>-</v>
      </c>
      <c r="G870" s="4" t="str">
        <f t="shared" si="575"/>
        <v>-</v>
      </c>
      <c r="H870" s="4" t="str">
        <f t="shared" si="575"/>
        <v>-</v>
      </c>
      <c r="I870" s="4" t="str">
        <f t="shared" si="575"/>
        <v>-</v>
      </c>
      <c r="J870" s="4">
        <f t="shared" si="575"/>
        <v>0.94007484893128579</v>
      </c>
      <c r="K870" s="4">
        <f t="shared" si="575"/>
        <v>0.94739827845336255</v>
      </c>
    </row>
    <row r="871" spans="2:12" x14ac:dyDescent="0.3">
      <c r="B871" s="5" t="str">
        <f t="shared" si="553"/>
        <v>SPS3</v>
      </c>
      <c r="C871" s="5" t="str">
        <f t="shared" si="568"/>
        <v>CH</v>
      </c>
      <c r="D871" t="s">
        <v>2085</v>
      </c>
      <c r="E871" t="s">
        <v>240</v>
      </c>
      <c r="F871" s="4">
        <f t="shared" si="575"/>
        <v>1.1905470872569062</v>
      </c>
      <c r="G871" s="4">
        <f t="shared" si="575"/>
        <v>0.95176942894868188</v>
      </c>
      <c r="H871" s="4">
        <f t="shared" si="575"/>
        <v>0.92996289045069014</v>
      </c>
      <c r="I871" s="4">
        <f t="shared" si="575"/>
        <v>0.93753502880875839</v>
      </c>
      <c r="J871" s="4">
        <f t="shared" si="575"/>
        <v>0.94007484893128579</v>
      </c>
      <c r="K871" s="4">
        <f t="shared" si="575"/>
        <v>0.94739827845336266</v>
      </c>
    </row>
    <row r="872" spans="2:12" x14ac:dyDescent="0.3">
      <c r="B872" s="5" t="str">
        <f t="shared" si="553"/>
        <v>SPS3</v>
      </c>
      <c r="C872" s="5" t="str">
        <f t="shared" si="568"/>
        <v>CH</v>
      </c>
      <c r="D872" t="s">
        <v>2086</v>
      </c>
      <c r="E872" t="s">
        <v>240</v>
      </c>
      <c r="F872" s="4" t="str">
        <f t="shared" si="575"/>
        <v>-</v>
      </c>
      <c r="G872" s="4" t="str">
        <f t="shared" si="575"/>
        <v>-</v>
      </c>
      <c r="H872" s="4" t="str">
        <f t="shared" si="575"/>
        <v>-</v>
      </c>
      <c r="I872" s="4" t="str">
        <f t="shared" si="575"/>
        <v>-</v>
      </c>
      <c r="J872" s="4">
        <f t="shared" si="575"/>
        <v>0.9400748489312859</v>
      </c>
      <c r="K872" s="4">
        <f t="shared" si="575"/>
        <v>0.94739827845336255</v>
      </c>
    </row>
    <row r="873" spans="2:12" x14ac:dyDescent="0.3">
      <c r="B873" s="5" t="str">
        <f t="shared" si="553"/>
        <v>SPS3</v>
      </c>
      <c r="C873" s="5" t="str">
        <f t="shared" si="568"/>
        <v>CH</v>
      </c>
      <c r="D873" t="s">
        <v>2087</v>
      </c>
      <c r="E873" t="s">
        <v>240</v>
      </c>
      <c r="F873" s="4" t="str">
        <f t="shared" si="575"/>
        <v>-</v>
      </c>
      <c r="G873" s="4" t="str">
        <f t="shared" si="575"/>
        <v>-</v>
      </c>
      <c r="H873" s="4" t="str">
        <f t="shared" si="575"/>
        <v>-</v>
      </c>
      <c r="I873" s="4" t="str">
        <f t="shared" si="575"/>
        <v>-</v>
      </c>
      <c r="J873" s="4">
        <f t="shared" si="575"/>
        <v>0.94007484893128579</v>
      </c>
      <c r="K873" s="4">
        <f t="shared" si="575"/>
        <v>0.94739827845336266</v>
      </c>
    </row>
    <row r="874" spans="2:12" x14ac:dyDescent="0.3">
      <c r="B874" s="5" t="str">
        <f t="shared" si="553"/>
        <v>SPS3</v>
      </c>
      <c r="C874" s="5" t="str">
        <f t="shared" si="568"/>
        <v>CH</v>
      </c>
      <c r="D874" t="s">
        <v>2088</v>
      </c>
      <c r="E874" t="s">
        <v>240</v>
      </c>
      <c r="F874" s="4">
        <f t="shared" si="575"/>
        <v>0.92447626236575109</v>
      </c>
      <c r="G874" s="4">
        <f t="shared" si="575"/>
        <v>0.92645636412827215</v>
      </c>
      <c r="H874" s="4">
        <f t="shared" si="575"/>
        <v>0.92942651677205435</v>
      </c>
      <c r="I874" s="4">
        <f t="shared" si="575"/>
        <v>0.93437677117835927</v>
      </c>
      <c r="J874" s="4">
        <f t="shared" si="575"/>
        <v>0.94427727999096622</v>
      </c>
      <c r="K874" s="4">
        <f>IFERROR(K841/K800,"-")</f>
        <v>0.94999999999999885</v>
      </c>
    </row>
    <row r="875" spans="2:12" x14ac:dyDescent="0.3">
      <c r="B875" s="5" t="str">
        <f t="shared" si="553"/>
        <v>SPS3</v>
      </c>
      <c r="C875" s="5" t="str">
        <f t="shared" si="568"/>
        <v>CH</v>
      </c>
      <c r="D875" t="s">
        <v>2089</v>
      </c>
      <c r="E875" t="s">
        <v>240</v>
      </c>
      <c r="F875" s="4">
        <f>IFERROR(F843/F802,"-")</f>
        <v>0.59000000000000052</v>
      </c>
      <c r="G875" s="4">
        <f t="shared" ref="G875:K875" si="576">IFERROR(G843/G802,"-")</f>
        <v>0.5906666666666659</v>
      </c>
      <c r="H875" s="4">
        <f t="shared" si="576"/>
        <v>0.59166666666666645</v>
      </c>
      <c r="I875" s="4">
        <f t="shared" si="576"/>
        <v>0.59333333333333305</v>
      </c>
      <c r="J875" s="4">
        <f t="shared" si="576"/>
        <v>0.59666666666666712</v>
      </c>
      <c r="K875" s="4">
        <f t="shared" si="576"/>
        <v>0.60000000000000031</v>
      </c>
    </row>
    <row r="876" spans="2:12" x14ac:dyDescent="0.3">
      <c r="B876" s="5" t="str">
        <f t="shared" si="553"/>
        <v>SPS3</v>
      </c>
      <c r="C876" s="5" t="str">
        <f t="shared" si="568"/>
        <v>CH</v>
      </c>
      <c r="D876" t="s">
        <v>2090</v>
      </c>
      <c r="E876" t="s">
        <v>240</v>
      </c>
      <c r="F876" s="4">
        <f>IFERROR(F845/F804,"-")</f>
        <v>0.73749999999999949</v>
      </c>
      <c r="G876" s="4">
        <f t="shared" ref="G876:K876" si="577">IFERROR(G845/G804,"-")</f>
        <v>0.73833333333333317</v>
      </c>
      <c r="H876" s="4">
        <f t="shared" si="577"/>
        <v>0.73958333333333337</v>
      </c>
      <c r="I876" s="4">
        <f t="shared" si="577"/>
        <v>0.74166666666666781</v>
      </c>
      <c r="J876" s="4">
        <f t="shared" si="577"/>
        <v>0.74583333333333279</v>
      </c>
      <c r="K876" s="4">
        <f t="shared" si="577"/>
        <v>0.74999999999999944</v>
      </c>
    </row>
    <row r="877" spans="2:12" x14ac:dyDescent="0.3">
      <c r="B877" s="5" t="str">
        <f t="shared" si="553"/>
        <v>SPS3</v>
      </c>
      <c r="C877" s="5" t="str">
        <f t="shared" si="568"/>
        <v>CH</v>
      </c>
      <c r="D877" t="s">
        <v>2091</v>
      </c>
      <c r="E877" t="s">
        <v>240</v>
      </c>
      <c r="F877" s="4">
        <f>IFERROR(F847/F806,"-")</f>
        <v>0.52800000000000058</v>
      </c>
      <c r="G877" s="4">
        <f t="shared" ref="G877:K877" si="578">IFERROR(G847/G806,"-")</f>
        <v>0.52799999999999958</v>
      </c>
      <c r="H877" s="4">
        <f t="shared" si="578"/>
        <v>0.52799999999999947</v>
      </c>
      <c r="I877" s="4">
        <f t="shared" si="578"/>
        <v>0.52800000000000025</v>
      </c>
      <c r="J877" s="4">
        <f t="shared" si="578"/>
        <v>0.52799999999999958</v>
      </c>
      <c r="K877" s="4">
        <f t="shared" si="578"/>
        <v>0.54399999999999982</v>
      </c>
    </row>
    <row r="878" spans="2:12" x14ac:dyDescent="0.3">
      <c r="B878" s="5" t="str">
        <f t="shared" si="553"/>
        <v>SPS3</v>
      </c>
      <c r="C878" s="5" t="str">
        <f t="shared" si="568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579">IFERROR(G849/G810,"-")</f>
        <v>1</v>
      </c>
      <c r="H878" s="4">
        <f t="shared" si="579"/>
        <v>1</v>
      </c>
      <c r="I878" s="4">
        <f t="shared" si="579"/>
        <v>1</v>
      </c>
      <c r="J878" s="4">
        <f t="shared" si="579"/>
        <v>1</v>
      </c>
      <c r="K878" s="4">
        <f t="shared" si="579"/>
        <v>1</v>
      </c>
    </row>
    <row r="879" spans="2:12" x14ac:dyDescent="0.3">
      <c r="B879" s="5" t="str">
        <f t="shared" si="553"/>
        <v>SPS3</v>
      </c>
      <c r="C879" s="5" t="str">
        <f t="shared" si="568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580">IFERROR(G851/G812,"-")</f>
        <v>-</v>
      </c>
      <c r="H879" s="4" t="str">
        <f t="shared" si="580"/>
        <v>-</v>
      </c>
      <c r="I879" s="4" t="str">
        <f t="shared" si="580"/>
        <v>-</v>
      </c>
      <c r="J879" s="4">
        <f t="shared" si="580"/>
        <v>0.77974530707387368</v>
      </c>
      <c r="K879" s="4">
        <f t="shared" si="580"/>
        <v>0.80093880917217375</v>
      </c>
    </row>
    <row r="880" spans="2:12" x14ac:dyDescent="0.3">
      <c r="B880" s="9" t="str">
        <f t="shared" si="553"/>
        <v>SPS3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581">F881+F885+F892+F903+F911+F913+F915+F917+F921</f>
        <v>140.10134185832825</v>
      </c>
      <c r="G880" s="17">
        <f t="shared" si="581"/>
        <v>137.01039718794786</v>
      </c>
      <c r="H880" s="17">
        <f t="shared" si="581"/>
        <v>127.10306763554281</v>
      </c>
      <c r="I880" s="17">
        <f t="shared" si="581"/>
        <v>114.2571801505527</v>
      </c>
      <c r="J880" s="17">
        <f t="shared" si="581"/>
        <v>95.88288045171798</v>
      </c>
      <c r="K880" s="17">
        <f t="shared" si="581"/>
        <v>80.608454808382703</v>
      </c>
      <c r="L880" s="17"/>
    </row>
    <row r="881" spans="2:12" x14ac:dyDescent="0.3">
      <c r="B881" s="5" t="str">
        <f t="shared" si="553"/>
        <v>SPS3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60.950072094190105</v>
      </c>
      <c r="G881" s="1">
        <f>[1]Services!C$11</f>
        <v>60.173500473727046</v>
      </c>
      <c r="H881" s="1">
        <f>[1]Services!D$11</f>
        <v>57.761622759507205</v>
      </c>
      <c r="I881" s="1">
        <f>[1]Services!E$11</f>
        <v>56.317424583744298</v>
      </c>
      <c r="J881" s="1">
        <f>[1]Services!F$11</f>
        <v>51.889709138903306</v>
      </c>
      <c r="K881" s="1">
        <f>[1]Services!G$11</f>
        <v>45.265439890244338</v>
      </c>
    </row>
    <row r="882" spans="2:12" x14ac:dyDescent="0.3">
      <c r="B882" s="5" t="str">
        <f t="shared" si="553"/>
        <v>SPS3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2.623644915570273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4.6378959862090841E-2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1.0280003221273244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0.57881335440731296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0.38069482855235853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0.2531337510936989</v>
      </c>
    </row>
    <row r="883" spans="2:12" x14ac:dyDescent="0.3">
      <c r="B883" s="5" t="str">
        <f t="shared" si="553"/>
        <v>SPS3</v>
      </c>
      <c r="C883" s="5" t="str">
        <f t="shared" ref="C883:C922" si="582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1.3316526037073866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1.4252145548283672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2.0966437877029991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4.5161973611466593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6.3338533221023949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5.494323191086993</v>
      </c>
    </row>
    <row r="884" spans="2:12" x14ac:dyDescent="0.3">
      <c r="B884" s="5" t="str">
        <f t="shared" ref="B884:B947" si="583">B883</f>
        <v>SPS3</v>
      </c>
      <c r="C884" s="5" t="str">
        <f t="shared" si="582"/>
        <v>CH</v>
      </c>
      <c r="D884" t="s">
        <v>508</v>
      </c>
      <c r="E884" t="s">
        <v>8</v>
      </c>
      <c r="F884" s="1">
        <f>[1]Services!B$11-[1]Services!B$28</f>
        <v>56.994774574912448</v>
      </c>
      <c r="G884" s="1">
        <f>[1]Services!C$11-[1]Services!C$28</f>
        <v>58.701906959036585</v>
      </c>
      <c r="H884" s="1">
        <f>[1]Services!D$11-[1]Services!D$28</f>
        <v>54.636978649676884</v>
      </c>
      <c r="I884" s="1">
        <f>[1]Services!E$11-[1]Services!E$28</f>
        <v>51.22241386819033</v>
      </c>
      <c r="J884" s="1">
        <f>[1]Services!F$11-[1]Services!F$28</f>
        <v>45.17516098824855</v>
      </c>
      <c r="K884" s="1">
        <f>[1]Services!G$11-[1]Services!G$28</f>
        <v>39.517982948063647</v>
      </c>
    </row>
    <row r="885" spans="2:12" x14ac:dyDescent="0.3">
      <c r="B885" s="5" t="str">
        <f t="shared" si="583"/>
        <v>SPS3</v>
      </c>
      <c r="C885" s="5" t="str">
        <f t="shared" si="582"/>
        <v>CH</v>
      </c>
      <c r="D885" t="s">
        <v>499</v>
      </c>
      <c r="E885" t="s">
        <v>8</v>
      </c>
      <c r="F885" s="1">
        <f>F886</f>
        <v>30.256649765192773</v>
      </c>
      <c r="G885" s="1">
        <f t="shared" ref="G885:K885" si="584">G886</f>
        <v>27.843523212539019</v>
      </c>
      <c r="H885" s="1">
        <f t="shared" si="584"/>
        <v>24.38313681935135</v>
      </c>
      <c r="I885" s="1">
        <f t="shared" si="584"/>
        <v>12.221450195201431</v>
      </c>
      <c r="J885" s="1">
        <f t="shared" si="584"/>
        <v>2.3038032459509425</v>
      </c>
      <c r="K885" s="1">
        <f t="shared" si="584"/>
        <v>7.6736228021684588E-2</v>
      </c>
      <c r="L885" s="1"/>
    </row>
    <row r="886" spans="2:12" x14ac:dyDescent="0.3">
      <c r="B886" s="5" t="str">
        <f t="shared" si="583"/>
        <v>SPS3</v>
      </c>
      <c r="C886" s="5" t="str">
        <f t="shared" si="582"/>
        <v>CH</v>
      </c>
      <c r="D886" t="s">
        <v>500</v>
      </c>
      <c r="E886" t="s">
        <v>8</v>
      </c>
      <c r="F886" s="1">
        <f>SUM(F889,F891)</f>
        <v>30.256649765192773</v>
      </c>
      <c r="G886" s="1">
        <f t="shared" ref="G886:K886" si="585">SUM(G889,G891)</f>
        <v>27.843523212539019</v>
      </c>
      <c r="H886" s="1">
        <f t="shared" si="585"/>
        <v>24.38313681935135</v>
      </c>
      <c r="I886" s="1">
        <f t="shared" si="585"/>
        <v>12.221450195201431</v>
      </c>
      <c r="J886" s="1">
        <f t="shared" si="585"/>
        <v>2.3038032459509425</v>
      </c>
      <c r="K886" s="1">
        <f t="shared" si="585"/>
        <v>7.6736228021684588E-2</v>
      </c>
    </row>
    <row r="887" spans="2:12" x14ac:dyDescent="0.3">
      <c r="B887" s="5" t="str">
        <f t="shared" si="583"/>
        <v>SPS3</v>
      </c>
      <c r="C887" s="5" t="str">
        <f>C886</f>
        <v>CH</v>
      </c>
      <c r="D887" t="s">
        <v>964</v>
      </c>
      <c r="E887" t="s">
        <v>8</v>
      </c>
      <c r="F887" s="1">
        <f>F888</f>
        <v>30.256649765192773</v>
      </c>
      <c r="G887" s="1">
        <f t="shared" ref="G887:K887" si="586">G888</f>
        <v>27.843523212539019</v>
      </c>
      <c r="H887" s="1">
        <f t="shared" si="586"/>
        <v>24.380745093243039</v>
      </c>
      <c r="I887" s="1">
        <f t="shared" si="586"/>
        <v>12.216470116299794</v>
      </c>
      <c r="J887" s="1">
        <f t="shared" si="586"/>
        <v>2.299464695575534</v>
      </c>
      <c r="K887" s="1">
        <f t="shared" si="586"/>
        <v>1.1941885575597483E-4</v>
      </c>
    </row>
    <row r="888" spans="2:12" x14ac:dyDescent="0.3">
      <c r="B888" s="5" t="str">
        <f t="shared" si="583"/>
        <v>SPS3</v>
      </c>
      <c r="C888" s="5" t="str">
        <f t="shared" si="582"/>
        <v>CH</v>
      </c>
      <c r="D888" t="s">
        <v>528</v>
      </c>
      <c r="E888" t="s">
        <v>8</v>
      </c>
      <c r="F888" s="1">
        <f>[1]Services!B$12</f>
        <v>30.256649765192773</v>
      </c>
      <c r="G888" s="1">
        <f>[1]Services!C$12</f>
        <v>27.843523212539019</v>
      </c>
      <c r="H888" s="1">
        <f>[1]Services!D$12</f>
        <v>24.380745093243039</v>
      </c>
      <c r="I888" s="1">
        <f>[1]Services!E$12</f>
        <v>12.216470116299794</v>
      </c>
      <c r="J888" s="1">
        <f>[1]Services!F$12</f>
        <v>2.299464695575534</v>
      </c>
      <c r="K888" s="1">
        <f>[1]Services!G$12</f>
        <v>1.1941885575597483E-4</v>
      </c>
    </row>
    <row r="889" spans="2:12" x14ac:dyDescent="0.3">
      <c r="B889" s="5" t="str">
        <f t="shared" si="583"/>
        <v>SPS3</v>
      </c>
      <c r="C889" s="5" t="str">
        <f t="shared" si="582"/>
        <v>CH</v>
      </c>
      <c r="D889" t="s">
        <v>529</v>
      </c>
      <c r="E889" t="s">
        <v>8</v>
      </c>
      <c r="F889" s="1">
        <f>F888</f>
        <v>30.256649765192773</v>
      </c>
      <c r="G889" s="1">
        <f t="shared" ref="G889:K889" si="587">G888</f>
        <v>27.843523212539019</v>
      </c>
      <c r="H889" s="1">
        <f t="shared" si="587"/>
        <v>24.380745093243039</v>
      </c>
      <c r="I889" s="1">
        <f t="shared" si="587"/>
        <v>12.216470116299794</v>
      </c>
      <c r="J889" s="1">
        <f t="shared" si="587"/>
        <v>2.299464695575534</v>
      </c>
      <c r="K889" s="1">
        <f t="shared" si="587"/>
        <v>1.1941885575597483E-4</v>
      </c>
    </row>
    <row r="890" spans="2:12" x14ac:dyDescent="0.3">
      <c r="B890" s="5" t="str">
        <f t="shared" si="583"/>
        <v>SPS3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588">G891</f>
        <v>0</v>
      </c>
      <c r="H890">
        <f t="shared" si="588"/>
        <v>2.3917261083120189E-3</v>
      </c>
      <c r="I890">
        <f t="shared" si="588"/>
        <v>4.9800789016363565E-3</v>
      </c>
      <c r="J890">
        <f t="shared" si="588"/>
        <v>4.3385503754085576E-3</v>
      </c>
      <c r="K890">
        <f t="shared" si="588"/>
        <v>7.6616809165928612E-2</v>
      </c>
    </row>
    <row r="891" spans="2:12" x14ac:dyDescent="0.3">
      <c r="B891" s="5" t="str">
        <f t="shared" si="583"/>
        <v>SPS3</v>
      </c>
      <c r="C891" s="5" t="str">
        <f t="shared" si="582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2.3917261083120189E-3</v>
      </c>
      <c r="I891">
        <f>[1]Services!E$13</f>
        <v>4.9800789016363565E-3</v>
      </c>
      <c r="J891">
        <f>[1]Services!F$13</f>
        <v>4.3385503754085576E-3</v>
      </c>
      <c r="K891">
        <f>[1]Services!G$13</f>
        <v>7.6616809165928612E-2</v>
      </c>
    </row>
    <row r="892" spans="2:12" x14ac:dyDescent="0.3">
      <c r="B892" s="5" t="str">
        <f t="shared" si="583"/>
        <v>SPS3</v>
      </c>
      <c r="C892" s="5" t="str">
        <f t="shared" si="582"/>
        <v>CH</v>
      </c>
      <c r="D892" t="s">
        <v>501</v>
      </c>
      <c r="E892" t="s">
        <v>8</v>
      </c>
      <c r="F892" s="1">
        <f>SUM(F893:F895)</f>
        <v>26.950997641225889</v>
      </c>
      <c r="G892" s="1">
        <f t="shared" ref="G892:K892" si="589">SUM(G893:G895)</f>
        <v>27.091799317151157</v>
      </c>
      <c r="H892" s="1">
        <f t="shared" si="589"/>
        <v>23.552721097671132</v>
      </c>
      <c r="I892" s="1">
        <f t="shared" si="589"/>
        <v>18.754383297799244</v>
      </c>
      <c r="J892" s="1">
        <f t="shared" si="589"/>
        <v>10.976634990667012</v>
      </c>
      <c r="K892" s="1">
        <f t="shared" si="589"/>
        <v>7.4390492909700399</v>
      </c>
    </row>
    <row r="893" spans="2:12" x14ac:dyDescent="0.3">
      <c r="B893" s="5" t="str">
        <f t="shared" si="583"/>
        <v>SPS3</v>
      </c>
      <c r="C893" s="5" t="str">
        <f t="shared" si="582"/>
        <v>CH</v>
      </c>
      <c r="D893" t="s">
        <v>681</v>
      </c>
      <c r="E893" t="s">
        <v>8</v>
      </c>
      <c r="F893" s="1">
        <f>SUM([1]Services!B$14:B$15)-F894</f>
        <v>25.548704397448507</v>
      </c>
      <c r="G893" s="1">
        <f>SUM([1]Services!C$14:C$15)</f>
        <v>25.554562680639268</v>
      </c>
      <c r="H893" s="1">
        <f>SUM([1]Services!D$14:D$15)</f>
        <v>22.454769095587707</v>
      </c>
      <c r="I893" s="1">
        <f>SUM([1]Services!E$14:E$15)</f>
        <v>16.342311552964539</v>
      </c>
      <c r="J893" s="1">
        <f>SUM([1]Services!F$14:F$15)</f>
        <v>7.516132682440416</v>
      </c>
      <c r="K893" s="1">
        <f>SUM([1]Services!G$14:G$15)</f>
        <v>4.8824442163759647</v>
      </c>
    </row>
    <row r="894" spans="2:12" x14ac:dyDescent="0.3">
      <c r="B894" s="5" t="str">
        <f t="shared" si="583"/>
        <v>SPS3</v>
      </c>
      <c r="C894" s="5" t="str">
        <f t="shared" ref="C894" si="590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1.0979520020834233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2.4120717448347042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3.4605023082265953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2.5566050745940747</v>
      </c>
    </row>
    <row r="895" spans="2:12" x14ac:dyDescent="0.3">
      <c r="B895" s="5" t="str">
        <f t="shared" si="583"/>
        <v>SPS3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1.4022932437773812</v>
      </c>
      <c r="G895" s="1">
        <f>[1]Services!C$16</f>
        <v>1.5372366365118895</v>
      </c>
      <c r="H895" s="1">
        <f>[1]Services!D$16</f>
        <v>0</v>
      </c>
      <c r="I895" s="1">
        <f>[1]Services!E$16</f>
        <v>0</v>
      </c>
      <c r="J895" s="1">
        <f>[1]Services!F$16</f>
        <v>0</v>
      </c>
      <c r="K895" s="1">
        <f>[1]Services!G$16</f>
        <v>0</v>
      </c>
    </row>
    <row r="896" spans="2:12" x14ac:dyDescent="0.3">
      <c r="B896" s="5" t="str">
        <f t="shared" si="583"/>
        <v>SPS3</v>
      </c>
      <c r="C896" s="5" t="str">
        <f t="shared" si="582"/>
        <v>CH</v>
      </c>
      <c r="D896" t="s">
        <v>967</v>
      </c>
      <c r="E896" t="s">
        <v>8</v>
      </c>
      <c r="F896" s="1">
        <f>[1]Services!B$14</f>
        <v>25.267599374419571</v>
      </c>
      <c r="G896" s="1">
        <f>[1]Services!C$14</f>
        <v>24.969868985163082</v>
      </c>
      <c r="H896" s="1">
        <f>[1]Services!D$14</f>
        <v>21.9970278035515</v>
      </c>
      <c r="I896" s="1">
        <f>[1]Services!E$14</f>
        <v>14.374205886416901</v>
      </c>
      <c r="J896" s="1">
        <f>[1]Services!F$14</f>
        <v>6.9881247213024471</v>
      </c>
      <c r="K896" s="1">
        <f>[1]Services!G$14</f>
        <v>4.8789503219816019</v>
      </c>
    </row>
    <row r="897" spans="2:11" x14ac:dyDescent="0.3">
      <c r="B897" s="5" t="str">
        <f t="shared" si="583"/>
        <v>SPS3</v>
      </c>
      <c r="C897" s="5" t="str">
        <f t="shared" si="582"/>
        <v>CH</v>
      </c>
      <c r="D897" t="s">
        <v>682</v>
      </c>
      <c r="E897" t="s">
        <v>8</v>
      </c>
      <c r="F897" s="1">
        <f>[1]Services!B$14*IFERROR(F893/SUM(F893:F894),0)</f>
        <v>25.267599374419571</v>
      </c>
      <c r="G897" s="1">
        <f>[1]Services!C$14*IFERROR(G893/SUM(G893:G894),0)</f>
        <v>24.969868985163082</v>
      </c>
      <c r="H897" s="1">
        <f>[1]Services!D$14*IFERROR(H893/SUM(H893:H894),0)</f>
        <v>20.971597212468662</v>
      </c>
      <c r="I897" s="1">
        <f>[1]Services!E$14*IFERROR(I893/SUM(I893:I894),0)</f>
        <v>12.525485226157627</v>
      </c>
      <c r="J897" s="1">
        <f>[1]Services!F$14*IFERROR(J893/SUM(J893:J894),0)</f>
        <v>4.7850431987043294</v>
      </c>
      <c r="K897" s="1">
        <f>[1]Services!G$14*IFERROR(K893/SUM(K893:K894),0)</f>
        <v>3.2021837535691984</v>
      </c>
    </row>
    <row r="898" spans="2:11" x14ac:dyDescent="0.3">
      <c r="B898" s="5" t="str">
        <f t="shared" si="583"/>
        <v>SPS3</v>
      </c>
      <c r="C898" s="5" t="str">
        <f t="shared" ref="C898" si="591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592">G896-G897</f>
        <v>0</v>
      </c>
      <c r="H898" s="1">
        <f t="shared" si="592"/>
        <v>1.0254305910828379</v>
      </c>
      <c r="I898" s="1">
        <f t="shared" si="592"/>
        <v>1.8487206602592732</v>
      </c>
      <c r="J898" s="1">
        <f t="shared" si="592"/>
        <v>2.2030815225981177</v>
      </c>
      <c r="K898" s="1">
        <f t="shared" si="592"/>
        <v>1.6767665684124036</v>
      </c>
    </row>
    <row r="899" spans="2:11" x14ac:dyDescent="0.3">
      <c r="B899" s="5" t="str">
        <f t="shared" si="583"/>
        <v>SPS3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1.6833982668063163</v>
      </c>
      <c r="G899" s="1">
        <f>[1]Services!C$15+G902</f>
        <v>2.1219303319880747</v>
      </c>
      <c r="H899" s="1">
        <f>[1]Services!D$15+H902</f>
        <v>0.45774129203620811</v>
      </c>
      <c r="I899" s="1">
        <f>[1]Services!E$15+I902</f>
        <v>1.9681056665476384</v>
      </c>
      <c r="J899" s="1">
        <f>[1]Services!F$15+J902</f>
        <v>0.52800796113796933</v>
      </c>
      <c r="K899" s="1">
        <f>[1]Services!G$15+K902</f>
        <v>3.493894394362337E-3</v>
      </c>
    </row>
    <row r="900" spans="2:11" x14ac:dyDescent="0.3">
      <c r="B900" s="5" t="str">
        <f t="shared" si="583"/>
        <v>SPS3</v>
      </c>
      <c r="C900" s="5" t="str">
        <f t="shared" si="582"/>
        <v>CH</v>
      </c>
      <c r="D900" t="s">
        <v>683</v>
      </c>
      <c r="E900" t="s">
        <v>8</v>
      </c>
      <c r="F900" s="1">
        <f>[1]Services!B$15*F893/SUM(F893:F894)</f>
        <v>0.28110502302893514</v>
      </c>
      <c r="G900" s="1">
        <f>[1]Services!C$15*G893/SUM(G893:G894)</f>
        <v>0.58469369547618533</v>
      </c>
      <c r="H900" s="1">
        <f>[1]Services!D$15*H893/SUM(H893:H894)</f>
        <v>0.43640286723411154</v>
      </c>
      <c r="I900" s="1">
        <f>[1]Services!E$15*I893/SUM(I893:I894)</f>
        <v>1.7149801974907222</v>
      </c>
      <c r="J900" s="1">
        <f>[1]Services!F$15*J893/SUM(J893:J894)</f>
        <v>0.36154776911796205</v>
      </c>
      <c r="K900" s="1">
        <f>[1]Services!G$15*K893/SUM(K893:K894)</f>
        <v>2.293135024537304E-3</v>
      </c>
    </row>
    <row r="901" spans="2:11" x14ac:dyDescent="0.3">
      <c r="B901" s="5" t="str">
        <f t="shared" si="583"/>
        <v>SPS3</v>
      </c>
      <c r="C901" s="5" t="str">
        <f t="shared" ref="C901" si="593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2.1338424802096519E-2</v>
      </c>
      <c r="I901" s="1">
        <f>[1]Services!E$15*I894/SUM(I893:I894)</f>
        <v>0.25312546905691635</v>
      </c>
      <c r="J901" s="1">
        <f>[1]Services!F$15*J894/SUM(J893:J894)</f>
        <v>0.16646019202000725</v>
      </c>
      <c r="K901" s="1">
        <f>[1]Services!G$15*K894/SUM(K893:K894)</f>
        <v>1.2007593698250328E-3</v>
      </c>
    </row>
    <row r="902" spans="2:11" x14ac:dyDescent="0.3">
      <c r="B902" s="5" t="str">
        <f t="shared" si="583"/>
        <v>SPS3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1.4022932437773812</v>
      </c>
      <c r="G902" s="1">
        <f>[1]Services!C$16</f>
        <v>1.5372366365118895</v>
      </c>
      <c r="H902" s="1">
        <f>[1]Services!D$16</f>
        <v>0</v>
      </c>
      <c r="I902" s="1">
        <f>[1]Services!E$16</f>
        <v>0</v>
      </c>
      <c r="J902" s="1">
        <f>[1]Services!F$16</f>
        <v>0</v>
      </c>
      <c r="K902" s="1">
        <f>[1]Services!G$16</f>
        <v>0</v>
      </c>
    </row>
    <row r="903" spans="2:11" x14ac:dyDescent="0.3">
      <c r="B903" s="5" t="str">
        <f t="shared" si="583"/>
        <v>SPS3</v>
      </c>
      <c r="C903" s="5" t="str">
        <f>C902</f>
        <v>CH</v>
      </c>
      <c r="D903" t="s">
        <v>969</v>
      </c>
      <c r="E903" t="s">
        <v>8</v>
      </c>
      <c r="F903" s="1">
        <f>[1]Services!B$17</f>
        <v>7.726945086304486</v>
      </c>
      <c r="G903" s="1">
        <f>[1]Services!C$17</f>
        <v>8.3697518716029364</v>
      </c>
      <c r="H903" s="1">
        <f>[1]Services!D$17</f>
        <v>6.7756275836740061</v>
      </c>
      <c r="I903" s="1">
        <f>[1]Services!E$17</f>
        <v>6.9260516407518438</v>
      </c>
      <c r="J903" s="1">
        <f>[1]Services!F$17</f>
        <v>7.9556138527879359</v>
      </c>
      <c r="K903" s="1">
        <f>[1]Services!G$17</f>
        <v>8.3589159155738049</v>
      </c>
    </row>
    <row r="904" spans="2:11" x14ac:dyDescent="0.3">
      <c r="B904" s="5" t="str">
        <f t="shared" si="583"/>
        <v>SPS3</v>
      </c>
      <c r="C904" s="5" t="str">
        <f t="shared" si="582"/>
        <v>CH</v>
      </c>
      <c r="D904" t="s">
        <v>970</v>
      </c>
      <c r="E904" t="s">
        <v>8</v>
      </c>
      <c r="F904" s="1">
        <f>[1]Services!B$51/0.99</f>
        <v>2.1169219518401112</v>
      </c>
      <c r="G904" s="1">
        <f>[1]Services!C$51/0.99</f>
        <v>2.2930340969394849</v>
      </c>
      <c r="H904" s="1">
        <f>[1]Services!D$51/0.99</f>
        <v>0</v>
      </c>
      <c r="I904" s="1">
        <f>[1]Services!E$51/0.99</f>
        <v>0</v>
      </c>
      <c r="J904" s="1">
        <f>[1]Services!F$51/0.99</f>
        <v>0</v>
      </c>
      <c r="K904" s="1">
        <f>[1]Services!G$51/0.99</f>
        <v>0</v>
      </c>
    </row>
    <row r="905" spans="2:11" x14ac:dyDescent="0.3">
      <c r="B905" s="5" t="str">
        <f t="shared" si="583"/>
        <v>SPS3</v>
      </c>
      <c r="C905" s="5" t="str">
        <f t="shared" si="582"/>
        <v>CH</v>
      </c>
      <c r="D905" t="s">
        <v>507</v>
      </c>
      <c r="E905" t="s">
        <v>8</v>
      </c>
      <c r="F905" s="1">
        <f>F904-SUM(F906:F909)</f>
        <v>1.4242989122586032</v>
      </c>
      <c r="G905" s="1">
        <f t="shared" ref="G905:K905" si="594">G904-SUM(G906:G909)</f>
        <v>1.5427273169742235</v>
      </c>
      <c r="H905" s="1">
        <f t="shared" si="594"/>
        <v>-3.168587938283051E-2</v>
      </c>
      <c r="I905" s="1">
        <f t="shared" si="594"/>
        <v>-2.3705857066335764E-3</v>
      </c>
      <c r="J905" s="1">
        <f t="shared" si="594"/>
        <v>-4.4506511924379373</v>
      </c>
      <c r="K905" s="1">
        <f t="shared" si="594"/>
        <v>-3.7936508790774329E-2</v>
      </c>
    </row>
    <row r="906" spans="2:11" x14ac:dyDescent="0.3">
      <c r="B906" s="5" t="str">
        <f t="shared" si="583"/>
        <v>SPS3</v>
      </c>
      <c r="C906" s="5" t="str">
        <f t="shared" si="582"/>
        <v>CH</v>
      </c>
      <c r="D906" t="s">
        <v>503</v>
      </c>
      <c r="E906" t="s">
        <v>8</v>
      </c>
      <c r="F906" s="1">
        <f t="shared" ref="F906:K907" si="595">F247</f>
        <v>0.69262303958150817</v>
      </c>
      <c r="G906" s="1">
        <f t="shared" si="595"/>
        <v>0.75030677996526129</v>
      </c>
      <c r="H906" s="1">
        <f t="shared" si="595"/>
        <v>3.168587938283051E-2</v>
      </c>
      <c r="I906" s="1">
        <f t="shared" si="595"/>
        <v>1.1224962086698143E-5</v>
      </c>
      <c r="J906" s="1">
        <f t="shared" si="595"/>
        <v>4.3903849615281878</v>
      </c>
      <c r="K906" s="1">
        <f t="shared" si="595"/>
        <v>4.3802377611356341E-3</v>
      </c>
    </row>
    <row r="907" spans="2:11" x14ac:dyDescent="0.3">
      <c r="B907" s="5" t="str">
        <f t="shared" si="583"/>
        <v>SPS3</v>
      </c>
      <c r="C907" s="5" t="str">
        <f t="shared" si="582"/>
        <v>CH</v>
      </c>
      <c r="D907" t="s">
        <v>504</v>
      </c>
      <c r="E907" t="s">
        <v>8</v>
      </c>
      <c r="F907" s="1">
        <f t="shared" si="595"/>
        <v>0</v>
      </c>
      <c r="G907" s="1">
        <f t="shared" si="595"/>
        <v>0</v>
      </c>
      <c r="H907" s="1">
        <f t="shared" si="595"/>
        <v>0</v>
      </c>
      <c r="I907" s="1">
        <f t="shared" si="595"/>
        <v>1.0158424422019194E-5</v>
      </c>
      <c r="J907" s="1">
        <f t="shared" si="595"/>
        <v>2.4520551124141421E-2</v>
      </c>
      <c r="K907" s="1">
        <f t="shared" si="595"/>
        <v>9.9727329335205298E-3</v>
      </c>
    </row>
    <row r="908" spans="2:11" x14ac:dyDescent="0.3">
      <c r="B908" s="5" t="str">
        <f t="shared" si="583"/>
        <v>SPS3</v>
      </c>
      <c r="C908" s="5" t="str">
        <f t="shared" si="582"/>
        <v>CH</v>
      </c>
      <c r="D908" t="s">
        <v>505</v>
      </c>
      <c r="E908" t="s">
        <v>8</v>
      </c>
      <c r="F908" s="1">
        <f t="shared" ref="F908:K908" si="596">F285</f>
        <v>0</v>
      </c>
      <c r="G908" s="1">
        <f t="shared" si="596"/>
        <v>0</v>
      </c>
      <c r="H908" s="1">
        <f t="shared" si="596"/>
        <v>0</v>
      </c>
      <c r="I908" s="1">
        <f t="shared" si="596"/>
        <v>9.5812539362383578E-4</v>
      </c>
      <c r="J908" s="1">
        <f t="shared" si="596"/>
        <v>3.2845666623165182E-2</v>
      </c>
      <c r="K908" s="1">
        <f t="shared" si="596"/>
        <v>5.549509657598109E-3</v>
      </c>
    </row>
    <row r="909" spans="2:11" x14ac:dyDescent="0.3">
      <c r="B909" s="5" t="str">
        <f t="shared" si="583"/>
        <v>SPS3</v>
      </c>
      <c r="C909" s="5" t="str">
        <f t="shared" si="582"/>
        <v>CH</v>
      </c>
      <c r="D909" t="s">
        <v>506</v>
      </c>
      <c r="E909" t="s">
        <v>8</v>
      </c>
      <c r="F909" s="1">
        <f t="shared" ref="F909:K909" si="597">F288</f>
        <v>0</v>
      </c>
      <c r="G909" s="1">
        <f t="shared" si="597"/>
        <v>0</v>
      </c>
      <c r="H909" s="1">
        <f t="shared" si="597"/>
        <v>0</v>
      </c>
      <c r="I909" s="1">
        <f t="shared" si="597"/>
        <v>1.3910769265010232E-3</v>
      </c>
      <c r="J909" s="1">
        <f t="shared" si="597"/>
        <v>2.9000131624424465E-3</v>
      </c>
      <c r="K909" s="1">
        <f t="shared" si="597"/>
        <v>1.8034028438520051E-2</v>
      </c>
    </row>
    <row r="910" spans="2:11" x14ac:dyDescent="0.3">
      <c r="B910" s="5" t="str">
        <f t="shared" si="583"/>
        <v>SPS3</v>
      </c>
      <c r="C910" s="5" t="str">
        <f t="shared" si="582"/>
        <v>CH</v>
      </c>
      <c r="D910" t="s">
        <v>971</v>
      </c>
      <c r="E910" t="s">
        <v>8</v>
      </c>
      <c r="F910" s="1">
        <f>F903-F904</f>
        <v>5.6100231344643747</v>
      </c>
      <c r="G910" s="1">
        <f t="shared" ref="G910:K910" si="598">G903-G904</f>
        <v>6.076717774663452</v>
      </c>
      <c r="H910" s="1">
        <f t="shared" si="598"/>
        <v>6.7756275836740061</v>
      </c>
      <c r="I910" s="1">
        <f t="shared" si="598"/>
        <v>6.9260516407518438</v>
      </c>
      <c r="J910" s="1">
        <f t="shared" si="598"/>
        <v>7.9556138527879359</v>
      </c>
      <c r="K910" s="1">
        <f t="shared" si="598"/>
        <v>8.3589159155738049</v>
      </c>
    </row>
    <row r="911" spans="2:11" x14ac:dyDescent="0.3">
      <c r="B911" s="5" t="str">
        <f t="shared" si="583"/>
        <v>SPS3</v>
      </c>
      <c r="C911" s="5" t="str">
        <f t="shared" si="582"/>
        <v>CH</v>
      </c>
      <c r="D911" t="s">
        <v>972</v>
      </c>
      <c r="E911" t="s">
        <v>8</v>
      </c>
      <c r="F911" s="1">
        <f>F912</f>
        <v>8.5743842178766574</v>
      </c>
      <c r="G911" s="1">
        <f t="shared" ref="G911:K911" si="599">G912</f>
        <v>7.2518812797906858</v>
      </c>
      <c r="H911" s="1">
        <f t="shared" si="599"/>
        <v>9.6278817712407765</v>
      </c>
      <c r="I911" s="1">
        <f t="shared" si="599"/>
        <v>8.2576982918810184</v>
      </c>
      <c r="J911" s="1">
        <f t="shared" si="599"/>
        <v>4.2510986268267219</v>
      </c>
      <c r="K911" s="1">
        <f t="shared" si="599"/>
        <v>1.7201319810278555</v>
      </c>
    </row>
    <row r="912" spans="2:11" x14ac:dyDescent="0.3">
      <c r="B912" s="5" t="str">
        <f t="shared" si="583"/>
        <v>SPS3</v>
      </c>
      <c r="C912" s="5" t="str">
        <f t="shared" si="582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8.5743842178766574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7.2518812797906858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9.6278817712407765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8.2576982918810184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4.2510986268267219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1.7201319810278555</v>
      </c>
    </row>
    <row r="913" spans="2:12" x14ac:dyDescent="0.3">
      <c r="B913" s="5" t="str">
        <f t="shared" si="583"/>
        <v>SPS3</v>
      </c>
      <c r="C913" s="5" t="str">
        <f t="shared" si="582"/>
        <v>CH</v>
      </c>
      <c r="D913" t="s">
        <v>974</v>
      </c>
      <c r="E913" t="s">
        <v>8</v>
      </c>
      <c r="F913" s="1">
        <f>F914</f>
        <v>2.0856470745690583</v>
      </c>
      <c r="G913" s="1">
        <f t="shared" ref="G913:K913" si="600">G914</f>
        <v>2.4000991472025941</v>
      </c>
      <c r="H913" s="1">
        <f t="shared" si="600"/>
        <v>0.28622917462676073</v>
      </c>
      <c r="I913" s="1">
        <f t="shared" si="600"/>
        <v>0.25403830230705515</v>
      </c>
      <c r="J913" s="1">
        <f t="shared" si="600"/>
        <v>0.13179177117577084</v>
      </c>
      <c r="K913" s="1">
        <f t="shared" si="600"/>
        <v>4.3585786571909327E-2</v>
      </c>
    </row>
    <row r="914" spans="2:12" x14ac:dyDescent="0.3">
      <c r="B914" s="5" t="str">
        <f t="shared" si="583"/>
        <v>SPS3</v>
      </c>
      <c r="C914" s="5" t="str">
        <f t="shared" si="582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2.0856470745690583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2.4000991472025941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0.28622917462676073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0.25403830230705515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0.13179177117577084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4.3585786571909327E-2</v>
      </c>
    </row>
    <row r="915" spans="2:12" x14ac:dyDescent="0.3">
      <c r="B915" s="5" t="str">
        <f t="shared" si="583"/>
        <v>SPS3</v>
      </c>
      <c r="C915" s="5" t="str">
        <f t="shared" si="582"/>
        <v>CH</v>
      </c>
      <c r="D915" t="s">
        <v>976</v>
      </c>
      <c r="E915" t="s">
        <v>8</v>
      </c>
      <c r="F915" s="1">
        <f>F916</f>
        <v>0.62701025081300255</v>
      </c>
      <c r="G915" s="1">
        <f t="shared" ref="G915:K915" si="601">G916</f>
        <v>0.68736128311886568</v>
      </c>
      <c r="H915" s="1">
        <f t="shared" si="601"/>
        <v>0.55677494901205493</v>
      </c>
      <c r="I915" s="1">
        <f t="shared" si="601"/>
        <v>0.92852220404809971</v>
      </c>
      <c r="J915" s="1">
        <f t="shared" si="601"/>
        <v>1.5523217784657086</v>
      </c>
      <c r="K915" s="1">
        <f t="shared" si="601"/>
        <v>1.7305924918011397</v>
      </c>
    </row>
    <row r="916" spans="2:12" x14ac:dyDescent="0.3">
      <c r="B916" s="5" t="str">
        <f t="shared" si="583"/>
        <v>SPS3</v>
      </c>
      <c r="C916" s="5" t="str">
        <f t="shared" si="582"/>
        <v>CH</v>
      </c>
      <c r="D916" t="s">
        <v>977</v>
      </c>
      <c r="E916" t="s">
        <v>8</v>
      </c>
      <c r="F916" s="1">
        <f>[1]Services!B$19</f>
        <v>0.62701025081300255</v>
      </c>
      <c r="G916" s="1">
        <f>[1]Services!C$19</f>
        <v>0.68736128311886568</v>
      </c>
      <c r="H916" s="1">
        <f>[1]Services!D$19</f>
        <v>0.55677494901205493</v>
      </c>
      <c r="I916" s="1">
        <f>[1]Services!E$19</f>
        <v>0.92852220404809971</v>
      </c>
      <c r="J916" s="1">
        <f>[1]Services!F$19</f>
        <v>1.5523217784657086</v>
      </c>
      <c r="K916" s="1">
        <f>[1]Services!G$19</f>
        <v>1.7305924918011397</v>
      </c>
    </row>
    <row r="917" spans="2:12" x14ac:dyDescent="0.3">
      <c r="B917" s="5" t="str">
        <f t="shared" si="583"/>
        <v>SPS3</v>
      </c>
      <c r="C917" s="5" t="str">
        <f t="shared" si="582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0</v>
      </c>
      <c r="I917" s="1">
        <f>[1]Services!E$20</f>
        <v>1.1279703235095692E-3</v>
      </c>
      <c r="J917" s="1">
        <f>[1]Services!F$20</f>
        <v>1.3485362601155157E-3</v>
      </c>
      <c r="K917" s="1">
        <f>[1]Services!G$20</f>
        <v>1.4252970246379126E-2</v>
      </c>
    </row>
    <row r="918" spans="2:12" x14ac:dyDescent="0.3">
      <c r="B918" s="5" t="str">
        <f t="shared" si="583"/>
        <v>SPS3</v>
      </c>
      <c r="C918" s="5" t="str">
        <f t="shared" si="582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02">G917-G919</f>
        <v>0</v>
      </c>
      <c r="H918" s="1">
        <f t="shared" si="602"/>
        <v>0</v>
      </c>
      <c r="I918" s="1">
        <f t="shared" si="602"/>
        <v>0</v>
      </c>
      <c r="J918" s="1">
        <f t="shared" si="602"/>
        <v>0</v>
      </c>
      <c r="K918" s="1">
        <f t="shared" si="602"/>
        <v>0</v>
      </c>
    </row>
    <row r="919" spans="2:12" x14ac:dyDescent="0.3">
      <c r="B919" s="5" t="str">
        <f t="shared" si="583"/>
        <v>SPS3</v>
      </c>
      <c r="C919" s="5" t="str">
        <f t="shared" si="582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03">G920</f>
        <v>0</v>
      </c>
      <c r="H919" s="1">
        <f t="shared" si="603"/>
        <v>0</v>
      </c>
      <c r="I919" s="1">
        <f t="shared" si="603"/>
        <v>1.1279703235095692E-3</v>
      </c>
      <c r="J919" s="1">
        <f t="shared" si="603"/>
        <v>1.3485362601155157E-3</v>
      </c>
      <c r="K919" s="1">
        <f t="shared" si="603"/>
        <v>1.4252970246379126E-2</v>
      </c>
    </row>
    <row r="920" spans="2:12" x14ac:dyDescent="0.3">
      <c r="B920" s="5" t="str">
        <f t="shared" si="583"/>
        <v>SPS3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0</v>
      </c>
      <c r="I920" s="1">
        <f>[1]Services!E$20</f>
        <v>1.1279703235095692E-3</v>
      </c>
      <c r="J920" s="1">
        <f>[1]Services!F$20</f>
        <v>1.3485362601155157E-3</v>
      </c>
      <c r="K920" s="1">
        <f>[1]Services!G$20</f>
        <v>1.4252970246379126E-2</v>
      </c>
    </row>
    <row r="921" spans="2:12" x14ac:dyDescent="0.3">
      <c r="B921" s="5" t="str">
        <f t="shared" si="583"/>
        <v>SPS3</v>
      </c>
      <c r="C921" s="5" t="str">
        <f t="shared" si="582"/>
        <v>CH</v>
      </c>
      <c r="D921" t="s">
        <v>980</v>
      </c>
      <c r="E921" t="s">
        <v>8</v>
      </c>
      <c r="F921" s="1">
        <f>F922</f>
        <v>2.9296357281562493</v>
      </c>
      <c r="G921" s="1">
        <f t="shared" ref="G921:K921" si="604">G922</f>
        <v>3.1924806028155408</v>
      </c>
      <c r="H921" s="1">
        <f t="shared" si="604"/>
        <v>4.1590734804595257</v>
      </c>
      <c r="I921" s="1">
        <f t="shared" si="604"/>
        <v>10.59648366449624</v>
      </c>
      <c r="J921" s="1">
        <f t="shared" si="604"/>
        <v>16.82055851068047</v>
      </c>
      <c r="K921" s="1">
        <f t="shared" si="604"/>
        <v>15.959750253925558</v>
      </c>
    </row>
    <row r="922" spans="2:12" x14ac:dyDescent="0.3">
      <c r="B922" s="5" t="str">
        <f t="shared" si="583"/>
        <v>SPS3</v>
      </c>
      <c r="C922" s="5" t="str">
        <f t="shared" si="582"/>
        <v>CH</v>
      </c>
      <c r="D922" t="s">
        <v>981</v>
      </c>
      <c r="E922" t="s">
        <v>8</v>
      </c>
      <c r="F922" s="1">
        <f>[1]Services!B$21-F923</f>
        <v>2.9296357281562493</v>
      </c>
      <c r="G922" s="1">
        <f>[1]Services!C$21-G923</f>
        <v>3.1924806028155408</v>
      </c>
      <c r="H922" s="1">
        <f>[1]Services!D$21-H923</f>
        <v>4.1590734804595257</v>
      </c>
      <c r="I922" s="1">
        <f>[1]Services!E$21-I923</f>
        <v>10.59648366449624</v>
      </c>
      <c r="J922" s="1">
        <f>[1]Services!F$21-J923</f>
        <v>16.82055851068047</v>
      </c>
      <c r="K922" s="1">
        <f>[1]Services!G$21-K923</f>
        <v>15.959750253925558</v>
      </c>
    </row>
    <row r="923" spans="2:12" x14ac:dyDescent="0.3">
      <c r="B923" s="5" t="str">
        <f t="shared" si="583"/>
        <v>SPS3</v>
      </c>
      <c r="C923" s="5" t="str">
        <f t="shared" ref="C923" si="605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1.0277895693070105</v>
      </c>
      <c r="I923" s="1">
        <f>[1]Services!E$50-I894</f>
        <v>2.6094297670586606</v>
      </c>
      <c r="J923" s="1">
        <f>[1]Services!F$50-J894</f>
        <v>4.1758762360358013</v>
      </c>
      <c r="K923" s="1">
        <f>[1]Services!G$50-K894</f>
        <v>3.6005647958869296</v>
      </c>
    </row>
    <row r="924" spans="2:12" x14ac:dyDescent="0.3">
      <c r="B924" s="9" t="str">
        <f t="shared" si="583"/>
        <v>SPS3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73.238582661861415</v>
      </c>
      <c r="G924" s="17">
        <f>[1]Services!C$59</f>
        <v>78.5756770326051</v>
      </c>
      <c r="H924" s="17">
        <f>[1]Services!D$59</f>
        <v>61.521006511535319</v>
      </c>
      <c r="I924" s="17">
        <f>[1]Services!E$59</f>
        <v>60.236070605339911</v>
      </c>
      <c r="J924" s="17">
        <f>[1]Services!F$59</f>
        <v>57.609131514689778</v>
      </c>
      <c r="K924" s="17">
        <f>[1]Services!G$59</f>
        <v>54.884103530079088</v>
      </c>
    </row>
    <row r="925" spans="2:12" x14ac:dyDescent="0.3">
      <c r="B925" s="5" t="str">
        <f t="shared" si="583"/>
        <v>SPS3</v>
      </c>
      <c r="C925" s="5" t="str">
        <f>C924</f>
        <v>CH</v>
      </c>
      <c r="D925" t="s">
        <v>983</v>
      </c>
      <c r="E925" t="s">
        <v>8</v>
      </c>
      <c r="F925" s="1">
        <f>SUM(F926:F928)</f>
        <v>63.650138892233947</v>
      </c>
      <c r="G925" s="1">
        <f t="shared" ref="G925:K925" si="606">SUM(G926:G928)</f>
        <v>63.362038864954314</v>
      </c>
      <c r="H925" s="1">
        <f t="shared" si="606"/>
        <v>61.380218039017137</v>
      </c>
      <c r="I925" s="1">
        <f t="shared" si="606"/>
        <v>66.622450622004322</v>
      </c>
      <c r="J925" s="1">
        <f t="shared" si="606"/>
        <v>68.524403544556606</v>
      </c>
      <c r="K925" s="1">
        <f t="shared" si="606"/>
        <v>61.105944305514868</v>
      </c>
    </row>
    <row r="926" spans="2:12" x14ac:dyDescent="0.3">
      <c r="B926" s="5" t="str">
        <f t="shared" si="583"/>
        <v>SPS3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2.3940759854578726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4.2436748273813198E-2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0.48752212117773508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0.28735572817109345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0.19483072352519276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0.1338879124386714</v>
      </c>
    </row>
    <row r="927" spans="2:12" x14ac:dyDescent="0.3">
      <c r="B927" s="5" t="str">
        <f t="shared" si="583"/>
        <v>SPS3</v>
      </c>
      <c r="C927" s="5" t="str">
        <f t="shared" ref="C927:C930" si="607">C926</f>
        <v>CH</v>
      </c>
      <c r="D927" t="s">
        <v>729</v>
      </c>
      <c r="E927" t="s">
        <v>8</v>
      </c>
      <c r="F927" s="1">
        <f>[1]Services!B$47</f>
        <v>4.2612883318636356</v>
      </c>
      <c r="G927" s="1">
        <f>[1]Services!C$47</f>
        <v>4.617695157643908</v>
      </c>
      <c r="H927" s="1">
        <f>[1]Services!D$47</f>
        <v>6.2557172681625257</v>
      </c>
      <c r="I927" s="1">
        <f>[1]Services!E$47</f>
        <v>15.1126810256429</v>
      </c>
      <c r="J927" s="1">
        <f>[1]Services!F$47</f>
        <v>23.154411832782866</v>
      </c>
      <c r="K927" s="1">
        <f>[1]Services!G$47</f>
        <v>21.454073445012551</v>
      </c>
    </row>
    <row r="928" spans="2:12" x14ac:dyDescent="0.3">
      <c r="B928" s="5" t="str">
        <f t="shared" si="583"/>
        <v>SPS3</v>
      </c>
      <c r="C928" s="5" t="str">
        <f t="shared" si="607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58.701906959036592</v>
      </c>
      <c r="H928" s="1">
        <f>[1]Services!D$3-([1]Services!D$6-[1]Services!D$58)</f>
        <v>54.636978649676877</v>
      </c>
      <c r="I928" s="1">
        <f>[1]Services!E$3-([1]Services!E$6-[1]Services!E$58)</f>
        <v>51.222413868190323</v>
      </c>
      <c r="J928" s="1">
        <f>[1]Services!F$3-([1]Services!F$6-[1]Services!F$58)</f>
        <v>45.17516098824855</v>
      </c>
      <c r="K928" s="1">
        <f>[1]Services!G$3-([1]Services!G$6-[1]Services!G$58)</f>
        <v>39.517982948063647</v>
      </c>
      <c r="L928" s="1"/>
    </row>
    <row r="929" spans="2:11" x14ac:dyDescent="0.3">
      <c r="B929" s="5" t="str">
        <f t="shared" si="583"/>
        <v>SPS3</v>
      </c>
      <c r="C929" s="5" t="str">
        <f t="shared" si="607"/>
        <v>CH</v>
      </c>
      <c r="D929" t="s">
        <v>1041</v>
      </c>
      <c r="E929" t="s">
        <v>8</v>
      </c>
      <c r="F929" s="1">
        <f>F930</f>
        <v>24.843082527793097</v>
      </c>
      <c r="G929" s="1">
        <f t="shared" ref="G929:K929" si="608">G930</f>
        <v>22.906987088708437</v>
      </c>
      <c r="H929" s="1">
        <f t="shared" si="608"/>
        <v>19.220258719932175</v>
      </c>
      <c r="I929" s="1">
        <f t="shared" si="608"/>
        <v>9.98060342119037</v>
      </c>
      <c r="J929" s="1">
        <f t="shared" si="608"/>
        <v>1.8813926490749429</v>
      </c>
      <c r="K929" s="1">
        <f t="shared" si="608"/>
        <v>6.311766907788631E-2</v>
      </c>
    </row>
    <row r="930" spans="2:11" x14ac:dyDescent="0.3">
      <c r="B930" s="5" t="str">
        <f t="shared" si="583"/>
        <v>SPS3</v>
      </c>
      <c r="C930" s="5" t="str">
        <f t="shared" si="607"/>
        <v>CH</v>
      </c>
      <c r="D930" t="s">
        <v>1042</v>
      </c>
      <c r="E930" t="s">
        <v>8</v>
      </c>
      <c r="F930" s="1">
        <f>[1]Services!B$48</f>
        <v>24.843082527793097</v>
      </c>
      <c r="G930" s="1">
        <f>[1]Services!C$48</f>
        <v>22.906987088708437</v>
      </c>
      <c r="H930" s="1">
        <f>[1]Services!D$48</f>
        <v>19.220258719932175</v>
      </c>
      <c r="I930" s="1">
        <f>[1]Services!E$48</f>
        <v>9.98060342119037</v>
      </c>
      <c r="J930" s="1">
        <f>[1]Services!F$48</f>
        <v>1.8813926490749429</v>
      </c>
      <c r="K930" s="1">
        <f>[1]Services!G$48</f>
        <v>6.311766907788631E-2</v>
      </c>
    </row>
    <row r="931" spans="2:11" x14ac:dyDescent="0.3">
      <c r="B931" s="5" t="str">
        <f t="shared" si="583"/>
        <v>SPS3</v>
      </c>
      <c r="C931" s="5" t="str">
        <f>C930</f>
        <v>CH</v>
      </c>
      <c r="D931" t="s">
        <v>1043</v>
      </c>
      <c r="E931" t="s">
        <v>8</v>
      </c>
      <c r="F931" s="1">
        <f>SUM(F932:F934)</f>
        <v>25.412810926509014</v>
      </c>
      <c r="G931" s="1">
        <f t="shared" ref="G931:K931" si="609">SUM(G932:G934)</f>
        <v>25.536055226034783</v>
      </c>
      <c r="H931" s="1">
        <f t="shared" si="609"/>
        <v>20.309284326267438</v>
      </c>
      <c r="I931" s="1">
        <f t="shared" si="609"/>
        <v>17.071833992324969</v>
      </c>
      <c r="J931" s="1">
        <f t="shared" si="609"/>
        <v>11.145577749592514</v>
      </c>
      <c r="K931" s="1">
        <f t="shared" si="609"/>
        <v>8.1812990466835931</v>
      </c>
    </row>
    <row r="932" spans="2:11" x14ac:dyDescent="0.3">
      <c r="B932" s="5" t="str">
        <f t="shared" si="583"/>
        <v>SPS3</v>
      </c>
      <c r="C932" s="5" t="str">
        <f t="shared" ref="C932:C951" si="610">C931</f>
        <v>CH</v>
      </c>
      <c r="D932" t="s">
        <v>1044</v>
      </c>
      <c r="E932" t="s">
        <v>8</v>
      </c>
      <c r="F932" s="1">
        <f>[1]Services!B$49</f>
        <v>24.18973075928638</v>
      </c>
      <c r="G932" s="1">
        <f>[1]Services!C$49</f>
        <v>24.195277431669112</v>
      </c>
      <c r="H932" s="1">
        <f>[1]Services!D$49</f>
        <v>18.183542754877003</v>
      </c>
      <c r="I932" s="1">
        <f>[1]Services!E$49</f>
        <v>12.050332480431603</v>
      </c>
      <c r="J932" s="1">
        <f>[1]Services!F$49</f>
        <v>3.5091992053301171</v>
      </c>
      <c r="K932" s="1">
        <f>[1]Services!G$49</f>
        <v>2.0241291762025888</v>
      </c>
    </row>
    <row r="933" spans="2:11" x14ac:dyDescent="0.3">
      <c r="B933" s="5" t="str">
        <f t="shared" si="583"/>
        <v>SPS3</v>
      </c>
      <c r="C933" s="5" t="str">
        <f t="shared" ref="C933" si="611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2.1257415713904337</v>
      </c>
      <c r="I933" s="1">
        <f>[1]Services!E$50</f>
        <v>5.0215015118933648</v>
      </c>
      <c r="J933" s="1">
        <f>[1]Services!F$50</f>
        <v>7.6363785442623966</v>
      </c>
      <c r="K933" s="1">
        <f>[1]Services!G$50</f>
        <v>6.1571698704810043</v>
      </c>
    </row>
    <row r="934" spans="2:11" x14ac:dyDescent="0.3">
      <c r="B934" s="5" t="str">
        <f t="shared" si="583"/>
        <v>SPS3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1.2230801672226319</v>
      </c>
      <c r="G934" s="1">
        <f>[1]Services!C$56</f>
        <v>1.3407777943656694</v>
      </c>
      <c r="H934" s="1">
        <f>[1]Services!D$56</f>
        <v>0</v>
      </c>
      <c r="I934" s="1">
        <f>[1]Services!E$56</f>
        <v>0</v>
      </c>
      <c r="J934" s="1">
        <f>[1]Services!F$56</f>
        <v>0</v>
      </c>
      <c r="K934" s="1">
        <f>[1]Services!G$56</f>
        <v>0</v>
      </c>
    </row>
    <row r="935" spans="2:11" x14ac:dyDescent="0.3">
      <c r="B935" s="5" t="str">
        <f t="shared" si="583"/>
        <v>SPS3</v>
      </c>
      <c r="C935" s="5" t="str">
        <f t="shared" si="610"/>
        <v>CH</v>
      </c>
      <c r="D935" t="s">
        <v>984</v>
      </c>
      <c r="E935" t="s">
        <v>8</v>
      </c>
      <c r="F935" s="1">
        <f>F936+F942</f>
        <v>7.649675635441441</v>
      </c>
      <c r="G935" s="1">
        <f t="shared" ref="G935:K935" si="612">G936+G942</f>
        <v>8.286054352886902</v>
      </c>
      <c r="H935" s="1">
        <f t="shared" si="612"/>
        <v>5.5804921272422003</v>
      </c>
      <c r="I935" s="1">
        <f t="shared" si="612"/>
        <v>5.7148663010561327</v>
      </c>
      <c r="J935" s="1">
        <f t="shared" si="612"/>
        <v>6.5643850016945278</v>
      </c>
      <c r="K935" s="1">
        <f t="shared" si="612"/>
        <v>6.8971600786518277</v>
      </c>
    </row>
    <row r="936" spans="2:11" x14ac:dyDescent="0.3">
      <c r="B936" s="5" t="str">
        <f t="shared" si="583"/>
        <v>SPS3</v>
      </c>
      <c r="C936" s="5" t="str">
        <f t="shared" si="610"/>
        <v>CH</v>
      </c>
      <c r="D936" t="s">
        <v>985</v>
      </c>
      <c r="E936" t="s">
        <v>8</v>
      </c>
      <c r="F936" s="1">
        <f>[1]Services!B$51</f>
        <v>2.09575273232171</v>
      </c>
      <c r="G936" s="1">
        <f>[1]Services!C$51</f>
        <v>2.2701037559700898</v>
      </c>
      <c r="H936" s="1">
        <f>[1]Services!D$51</f>
        <v>0</v>
      </c>
      <c r="I936" s="1">
        <f>[1]Services!E$51</f>
        <v>0</v>
      </c>
      <c r="J936" s="1">
        <f>[1]Services!F$51</f>
        <v>0</v>
      </c>
      <c r="K936" s="1">
        <f>[1]Services!G$51</f>
        <v>0</v>
      </c>
    </row>
    <row r="937" spans="2:11" x14ac:dyDescent="0.3">
      <c r="B937" s="5" t="str">
        <f t="shared" si="583"/>
        <v>SPS3</v>
      </c>
      <c r="C937" s="5" t="str">
        <f t="shared" si="610"/>
        <v>CH</v>
      </c>
      <c r="D937" t="s">
        <v>692</v>
      </c>
      <c r="E937" t="s">
        <v>8</v>
      </c>
      <c r="F937" s="1">
        <f>IFERROR(F905/F$904,0)*F$936</f>
        <v>1.410055923136017</v>
      </c>
      <c r="G937" s="1">
        <f t="shared" ref="G937:K937" si="613">IFERROR(G905/G$904,0)*G$936</f>
        <v>1.527300043804481</v>
      </c>
      <c r="H937" s="1">
        <f t="shared" si="613"/>
        <v>0</v>
      </c>
      <c r="I937" s="1">
        <f t="shared" si="613"/>
        <v>0</v>
      </c>
      <c r="J937" s="1">
        <f t="shared" si="613"/>
        <v>0</v>
      </c>
      <c r="K937" s="1">
        <f t="shared" si="613"/>
        <v>0</v>
      </c>
    </row>
    <row r="938" spans="2:11" x14ac:dyDescent="0.3">
      <c r="B938" s="5" t="str">
        <f t="shared" si="583"/>
        <v>SPS3</v>
      </c>
      <c r="C938" s="5" t="str">
        <f t="shared" si="610"/>
        <v>CH</v>
      </c>
      <c r="D938" t="s">
        <v>693</v>
      </c>
      <c r="E938" t="s">
        <v>8</v>
      </c>
      <c r="F938" s="1">
        <f>IFERROR(F906/F$904,0)*F$936</f>
        <v>0.68569680918569309</v>
      </c>
      <c r="G938" s="1">
        <f t="shared" ref="G938:K941" si="614">IFERROR(G906/G$904,0)*G$936</f>
        <v>0.7428037121656087</v>
      </c>
      <c r="H938" s="1">
        <f t="shared" si="614"/>
        <v>0</v>
      </c>
      <c r="I938" s="1">
        <f t="shared" si="614"/>
        <v>0</v>
      </c>
      <c r="J938" s="1">
        <f t="shared" si="614"/>
        <v>0</v>
      </c>
      <c r="K938" s="1">
        <f t="shared" si="614"/>
        <v>0</v>
      </c>
    </row>
    <row r="939" spans="2:11" x14ac:dyDescent="0.3">
      <c r="B939" s="5" t="str">
        <f t="shared" si="583"/>
        <v>SPS3</v>
      </c>
      <c r="C939" s="5" t="str">
        <f t="shared" si="610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14"/>
        <v>0</v>
      </c>
      <c r="H939" s="1">
        <f t="shared" si="614"/>
        <v>0</v>
      </c>
      <c r="I939" s="1">
        <f t="shared" si="614"/>
        <v>0</v>
      </c>
      <c r="J939" s="1">
        <f t="shared" si="614"/>
        <v>0</v>
      </c>
      <c r="K939" s="1">
        <f t="shared" si="614"/>
        <v>0</v>
      </c>
    </row>
    <row r="940" spans="2:11" x14ac:dyDescent="0.3">
      <c r="B940" s="5" t="str">
        <f t="shared" si="583"/>
        <v>SPS3</v>
      </c>
      <c r="C940" s="5" t="str">
        <f t="shared" si="610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14"/>
        <v>0</v>
      </c>
      <c r="H940" s="1">
        <f t="shared" si="614"/>
        <v>0</v>
      </c>
      <c r="I940" s="1">
        <f t="shared" si="614"/>
        <v>0</v>
      </c>
      <c r="J940" s="1">
        <f t="shared" si="614"/>
        <v>0</v>
      </c>
      <c r="K940" s="1">
        <f t="shared" si="614"/>
        <v>0</v>
      </c>
    </row>
    <row r="941" spans="2:11" x14ac:dyDescent="0.3">
      <c r="B941" s="5" t="str">
        <f t="shared" si="583"/>
        <v>SPS3</v>
      </c>
      <c r="C941" s="5" t="str">
        <f t="shared" si="610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14"/>
        <v>0</v>
      </c>
      <c r="H941" s="1">
        <f t="shared" si="614"/>
        <v>0</v>
      </c>
      <c r="I941" s="1">
        <f t="shared" si="614"/>
        <v>0</v>
      </c>
      <c r="J941" s="1">
        <f t="shared" si="614"/>
        <v>0</v>
      </c>
      <c r="K941" s="1">
        <f t="shared" si="614"/>
        <v>0</v>
      </c>
    </row>
    <row r="942" spans="2:11" x14ac:dyDescent="0.3">
      <c r="B942" s="5" t="str">
        <f t="shared" si="583"/>
        <v>SPS3</v>
      </c>
      <c r="C942" s="5" t="str">
        <f t="shared" si="610"/>
        <v>CH</v>
      </c>
      <c r="D942" t="s">
        <v>986</v>
      </c>
      <c r="E942" t="s">
        <v>8</v>
      </c>
      <c r="F942" s="1">
        <f>[1]Services!B$52</f>
        <v>5.553922903119731</v>
      </c>
      <c r="G942" s="1">
        <f>[1]Services!C$52</f>
        <v>6.0159505969168121</v>
      </c>
      <c r="H942" s="1">
        <f>[1]Services!D$52</f>
        <v>5.5804921272422003</v>
      </c>
      <c r="I942" s="1">
        <f>[1]Services!E$52</f>
        <v>5.7148663010561327</v>
      </c>
      <c r="J942" s="1">
        <f>[1]Services!F$52</f>
        <v>6.5643850016945278</v>
      </c>
      <c r="K942" s="1">
        <f>[1]Services!G$52</f>
        <v>6.8971600786518277</v>
      </c>
    </row>
    <row r="943" spans="2:11" x14ac:dyDescent="0.3">
      <c r="B943" s="5" t="str">
        <f t="shared" si="583"/>
        <v>SPS3</v>
      </c>
      <c r="C943" s="5" t="str">
        <f t="shared" si="610"/>
        <v>CH</v>
      </c>
      <c r="D943" t="s">
        <v>987</v>
      </c>
      <c r="E943" t="s">
        <v>8</v>
      </c>
      <c r="F943" s="1">
        <f>F944</f>
        <v>6.1735566368711909</v>
      </c>
      <c r="G943" s="1">
        <f t="shared" ref="G943:K943" si="615">G944</f>
        <v>5.2213545214492934</v>
      </c>
      <c r="H943" s="1">
        <f t="shared" si="615"/>
        <v>6.490380314105372</v>
      </c>
      <c r="I943" s="1">
        <f t="shared" si="615"/>
        <v>5.5667075798064225</v>
      </c>
      <c r="J943" s="1">
        <f t="shared" si="615"/>
        <v>2.8657650245865813</v>
      </c>
      <c r="K943" s="1">
        <f t="shared" si="615"/>
        <v>1.2274480929644662</v>
      </c>
    </row>
    <row r="944" spans="2:11" x14ac:dyDescent="0.3">
      <c r="B944" s="5" t="str">
        <f t="shared" si="583"/>
        <v>SPS3</v>
      </c>
      <c r="C944" s="5" t="str">
        <f t="shared" si="610"/>
        <v>CH</v>
      </c>
      <c r="D944" t="s">
        <v>988</v>
      </c>
      <c r="E944" t="s">
        <v>8</v>
      </c>
      <c r="F944" s="1">
        <f>[1]Services!B$53</f>
        <v>6.1735566368711909</v>
      </c>
      <c r="G944" s="1">
        <f>[1]Services!C$53</f>
        <v>5.2213545214492934</v>
      </c>
      <c r="H944" s="1">
        <f>[1]Services!D$53</f>
        <v>6.490380314105372</v>
      </c>
      <c r="I944" s="1">
        <f>[1]Services!E$53</f>
        <v>5.5667075798064225</v>
      </c>
      <c r="J944" s="1">
        <f>[1]Services!F$53</f>
        <v>2.8657650245865813</v>
      </c>
      <c r="K944" s="1">
        <f>[1]Services!G$53</f>
        <v>1.2274480929644662</v>
      </c>
    </row>
    <row r="945" spans="2:11" x14ac:dyDescent="0.3">
      <c r="B945" s="5" t="str">
        <f t="shared" si="583"/>
        <v>SPS3</v>
      </c>
      <c r="C945" s="5" t="str">
        <f t="shared" si="610"/>
        <v>CH</v>
      </c>
      <c r="D945" t="s">
        <v>989</v>
      </c>
      <c r="E945" t="s">
        <v>8</v>
      </c>
      <c r="F945" s="1">
        <f>F946</f>
        <v>1.8770823671121519</v>
      </c>
      <c r="G945" s="1">
        <f t="shared" ref="G945:K945" si="616">G946</f>
        <v>2.1600892324823331</v>
      </c>
      <c r="H945" s="1">
        <f t="shared" si="616"/>
        <v>0.18843232166549301</v>
      </c>
      <c r="I945" s="1">
        <f t="shared" si="616"/>
        <v>0.16724020938151879</v>
      </c>
      <c r="J945" s="1">
        <f t="shared" si="616"/>
        <v>8.6762048108621204E-2</v>
      </c>
      <c r="K945" s="1">
        <f t="shared" si="616"/>
        <v>3.0216269315554163E-2</v>
      </c>
    </row>
    <row r="946" spans="2:11" x14ac:dyDescent="0.3">
      <c r="B946" s="5" t="str">
        <f t="shared" si="583"/>
        <v>SPS3</v>
      </c>
      <c r="C946" s="5" t="str">
        <f t="shared" si="610"/>
        <v>CH</v>
      </c>
      <c r="D946" t="s">
        <v>990</v>
      </c>
      <c r="E946" t="s">
        <v>8</v>
      </c>
      <c r="F946" s="1">
        <f>[1]Services!B$54</f>
        <v>1.8770823671121519</v>
      </c>
      <c r="G946" s="1">
        <f>[1]Services!C$54</f>
        <v>2.1600892324823331</v>
      </c>
      <c r="H946" s="1">
        <f>[1]Services!D$54</f>
        <v>0.18843232166549301</v>
      </c>
      <c r="I946" s="1">
        <f>[1]Services!E$54</f>
        <v>0.16724020938151879</v>
      </c>
      <c r="J946" s="1">
        <f>[1]Services!F$54</f>
        <v>8.6762048108621204E-2</v>
      </c>
      <c r="K946" s="1">
        <f>[1]Services!G$54</f>
        <v>3.0216269315554163E-2</v>
      </c>
    </row>
    <row r="947" spans="2:11" x14ac:dyDescent="0.3">
      <c r="B947" s="5" t="str">
        <f t="shared" si="583"/>
        <v>SPS3</v>
      </c>
      <c r="C947" s="5" t="str">
        <f t="shared" si="610"/>
        <v>CH</v>
      </c>
      <c r="D947" t="s">
        <v>991</v>
      </c>
      <c r="E947" t="s">
        <v>8</v>
      </c>
      <c r="F947" s="1">
        <f>F948</f>
        <v>0.62701025081300255</v>
      </c>
      <c r="G947" s="1">
        <f t="shared" ref="G947:K947" si="617">G948</f>
        <v>0.68736128311886568</v>
      </c>
      <c r="H947" s="1">
        <f t="shared" si="617"/>
        <v>0.55677494901205493</v>
      </c>
      <c r="I947" s="1">
        <f t="shared" si="617"/>
        <v>0.92852220404809971</v>
      </c>
      <c r="J947" s="1">
        <f t="shared" si="617"/>
        <v>1.5523217784657086</v>
      </c>
      <c r="K947" s="1">
        <f t="shared" si="617"/>
        <v>1.7305924918011397</v>
      </c>
    </row>
    <row r="948" spans="2:11" x14ac:dyDescent="0.3">
      <c r="B948" s="5" t="str">
        <f t="shared" ref="B948:B1011" si="618">B947</f>
        <v>SPS3</v>
      </c>
      <c r="C948" s="5" t="str">
        <f t="shared" si="610"/>
        <v>CH</v>
      </c>
      <c r="D948" t="s">
        <v>992</v>
      </c>
      <c r="E948" t="s">
        <v>8</v>
      </c>
      <c r="F948" s="1">
        <f>[1]Services!B$55</f>
        <v>0.62701025081300255</v>
      </c>
      <c r="G948" s="1">
        <f>[1]Services!C$55</f>
        <v>0.68736128311886568</v>
      </c>
      <c r="H948" s="1">
        <f>[1]Services!D$55</f>
        <v>0.55677494901205493</v>
      </c>
      <c r="I948" s="1">
        <f>[1]Services!E$55</f>
        <v>0.92852220404809971</v>
      </c>
      <c r="J948" s="1">
        <f>[1]Services!F$55</f>
        <v>1.5523217784657086</v>
      </c>
      <c r="K948" s="1">
        <f>[1]Services!G$55</f>
        <v>1.7305924918011397</v>
      </c>
    </row>
    <row r="949" spans="2:11" x14ac:dyDescent="0.3">
      <c r="B949" s="5" t="str">
        <f t="shared" si="618"/>
        <v>SPS3</v>
      </c>
      <c r="C949" s="5" t="str">
        <f t="shared" si="610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19">G950</f>
        <v>0</v>
      </c>
      <c r="H949" s="1">
        <f t="shared" si="619"/>
        <v>0</v>
      </c>
      <c r="I949" s="1">
        <f t="shared" si="619"/>
        <v>0</v>
      </c>
      <c r="J949" s="1">
        <f t="shared" si="619"/>
        <v>0</v>
      </c>
      <c r="K949" s="1">
        <f t="shared" si="619"/>
        <v>0</v>
      </c>
    </row>
    <row r="950" spans="2:11" x14ac:dyDescent="0.3">
      <c r="B950" s="5" t="str">
        <f t="shared" si="618"/>
        <v>SPS3</v>
      </c>
      <c r="C950" s="5" t="str">
        <f t="shared" si="610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0</v>
      </c>
      <c r="J950" s="1">
        <f>[1]Services!F$57</f>
        <v>0</v>
      </c>
      <c r="K950" s="1">
        <f>[1]Services!G$57</f>
        <v>0</v>
      </c>
    </row>
    <row r="951" spans="2:11" x14ac:dyDescent="0.3">
      <c r="B951" s="5" t="str">
        <f t="shared" si="618"/>
        <v>SPS3</v>
      </c>
      <c r="C951" s="5" t="str">
        <f t="shared" si="610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9.1176434220067843</v>
      </c>
      <c r="H951" s="1">
        <f>[1]Services!D$58</f>
        <v>2.4321443639703211</v>
      </c>
      <c r="I951" s="1">
        <f>[1]Services!E$58</f>
        <v>5.4062601437184137</v>
      </c>
      <c r="J951" s="1">
        <f>[1]Services!F$58</f>
        <v>10.163684706858835</v>
      </c>
      <c r="K951" s="1">
        <f>[1]Services!G$58</f>
        <v>15.166308524133397</v>
      </c>
    </row>
    <row r="952" spans="2:11" x14ac:dyDescent="0.3">
      <c r="B952" s="5" t="str">
        <f t="shared" si="618"/>
        <v>SPS3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3">
      <c r="B953" s="5" t="str">
        <f t="shared" si="618"/>
        <v>SPS3</v>
      </c>
      <c r="C953" s="5" t="str">
        <f t="shared" ref="C953:C969" si="620">C952</f>
        <v>CH</v>
      </c>
      <c r="D953" t="s">
        <v>761</v>
      </c>
      <c r="E953" t="s">
        <v>240</v>
      </c>
      <c r="F953" s="4">
        <f t="shared" ref="F953:K955" si="621">IFERROR(F926/F882,"-")</f>
        <v>0.91249999999999942</v>
      </c>
      <c r="G953" s="4">
        <f t="shared" si="621"/>
        <v>0.9150000000000017</v>
      </c>
      <c r="H953" s="4">
        <f t="shared" si="621"/>
        <v>0.47424315993293276</v>
      </c>
      <c r="I953" s="4">
        <f t="shared" si="621"/>
        <v>0.49645663145650271</v>
      </c>
      <c r="J953" s="4">
        <f t="shared" si="621"/>
        <v>0.51177664867700423</v>
      </c>
      <c r="K953" s="4">
        <f t="shared" si="621"/>
        <v>0.52892161499677703</v>
      </c>
    </row>
    <row r="954" spans="2:11" x14ac:dyDescent="0.3">
      <c r="B954" s="5" t="str">
        <f t="shared" si="618"/>
        <v>SPS3</v>
      </c>
      <c r="C954" s="5" t="str">
        <f t="shared" si="620"/>
        <v>CH</v>
      </c>
      <c r="D954" t="s">
        <v>730</v>
      </c>
      <c r="E954" t="s">
        <v>240</v>
      </c>
      <c r="F954" s="4">
        <f t="shared" si="621"/>
        <v>3.1999999999999988</v>
      </c>
      <c r="G954" s="4">
        <f t="shared" si="621"/>
        <v>3.2399999999999989</v>
      </c>
      <c r="H954" s="4">
        <f t="shared" si="621"/>
        <v>2.9836814936580356</v>
      </c>
      <c r="I954" s="4">
        <f t="shared" si="621"/>
        <v>3.3463287401163977</v>
      </c>
      <c r="J954" s="4">
        <f t="shared" si="621"/>
        <v>3.6556596206584122</v>
      </c>
      <c r="K954" s="4">
        <f t="shared" si="621"/>
        <v>3.9047709242542923</v>
      </c>
    </row>
    <row r="955" spans="2:11" x14ac:dyDescent="0.3">
      <c r="B955" s="5" t="str">
        <f t="shared" si="618"/>
        <v>SPS3</v>
      </c>
      <c r="C955" s="5" t="str">
        <f t="shared" si="620"/>
        <v>CH</v>
      </c>
      <c r="D955" t="s">
        <v>699</v>
      </c>
      <c r="E955" t="s">
        <v>240</v>
      </c>
      <c r="F955" s="4">
        <f t="shared" si="621"/>
        <v>0.99999999999999989</v>
      </c>
      <c r="G955" s="4">
        <f t="shared" si="621"/>
        <v>1.0000000000000002</v>
      </c>
      <c r="H955" s="4">
        <f t="shared" si="621"/>
        <v>0.99999999999999989</v>
      </c>
      <c r="I955" s="4">
        <f t="shared" si="621"/>
        <v>0.99999999999999989</v>
      </c>
      <c r="J955" s="4">
        <f t="shared" si="621"/>
        <v>1</v>
      </c>
      <c r="K955" s="4">
        <f t="shared" si="621"/>
        <v>1</v>
      </c>
    </row>
    <row r="956" spans="2:11" x14ac:dyDescent="0.3">
      <c r="B956" s="5" t="str">
        <f t="shared" si="618"/>
        <v>SPS3</v>
      </c>
      <c r="C956" s="5" t="str">
        <f t="shared" si="620"/>
        <v>CH</v>
      </c>
      <c r="D956" t="s">
        <v>700</v>
      </c>
      <c r="E956" t="s">
        <v>240</v>
      </c>
      <c r="F956" s="4">
        <f t="shared" ref="F956:K956" si="622">IFERROR(F930/F886,"-")</f>
        <v>0.82107843137254943</v>
      </c>
      <c r="G956" s="4">
        <f t="shared" si="622"/>
        <v>0.82270432925645454</v>
      </c>
      <c r="H956" s="4">
        <f t="shared" si="622"/>
        <v>0.78826029900624905</v>
      </c>
      <c r="I956" s="4">
        <f t="shared" si="622"/>
        <v>0.81664640953240597</v>
      </c>
      <c r="J956" s="4">
        <f t="shared" si="622"/>
        <v>0.81664640953240741</v>
      </c>
      <c r="K956" s="4">
        <f t="shared" si="622"/>
        <v>0.82252764704632253</v>
      </c>
    </row>
    <row r="957" spans="2:11" x14ac:dyDescent="0.3">
      <c r="B957" s="5" t="str">
        <f t="shared" si="618"/>
        <v>SPS3</v>
      </c>
      <c r="C957" s="5" t="str">
        <f t="shared" si="620"/>
        <v>CH</v>
      </c>
      <c r="D957" t="s">
        <v>701</v>
      </c>
      <c r="E957" t="s">
        <v>240</v>
      </c>
      <c r="F957" s="4">
        <f t="shared" ref="F957:K959" si="623">IFERROR(F932/F893,"-")</f>
        <v>0.94680851063829896</v>
      </c>
      <c r="G957" s="4">
        <f t="shared" si="623"/>
        <v>0.94680851063829852</v>
      </c>
      <c r="H957" s="4">
        <f t="shared" si="623"/>
        <v>0.80978533680179388</v>
      </c>
      <c r="I957" s="4">
        <f t="shared" si="623"/>
        <v>0.73737013526985662</v>
      </c>
      <c r="J957" s="4">
        <f t="shared" si="623"/>
        <v>0.46688893791463959</v>
      </c>
      <c r="K957" s="4">
        <f t="shared" si="623"/>
        <v>0.41457292423609415</v>
      </c>
    </row>
    <row r="958" spans="2:11" x14ac:dyDescent="0.3">
      <c r="B958" s="5" t="str">
        <f t="shared" si="618"/>
        <v>SPS3</v>
      </c>
      <c r="C958" s="5" t="str">
        <f t="shared" si="620"/>
        <v>CH</v>
      </c>
      <c r="D958" t="s">
        <v>731</v>
      </c>
      <c r="E958" t="s">
        <v>240</v>
      </c>
      <c r="F958" s="4" t="str">
        <f t="shared" si="623"/>
        <v>-</v>
      </c>
      <c r="G958" s="4" t="str">
        <f t="shared" si="623"/>
        <v>-</v>
      </c>
      <c r="H958" s="4">
        <f t="shared" si="623"/>
        <v>1.9360969945468693</v>
      </c>
      <c r="I958" s="4">
        <f t="shared" si="623"/>
        <v>2.0818209585376497</v>
      </c>
      <c r="J958" s="4">
        <f t="shared" si="623"/>
        <v>2.2067254589336813</v>
      </c>
      <c r="K958" s="4">
        <f t="shared" si="623"/>
        <v>2.4083382809754492</v>
      </c>
    </row>
    <row r="959" spans="2:11" x14ac:dyDescent="0.3">
      <c r="B959" s="5" t="str">
        <f t="shared" si="618"/>
        <v>SPS3</v>
      </c>
      <c r="C959" s="5" t="str">
        <f t="shared" si="620"/>
        <v>CH</v>
      </c>
      <c r="D959" t="s">
        <v>702</v>
      </c>
      <c r="E959" t="s">
        <v>240</v>
      </c>
      <c r="F959" s="4">
        <f t="shared" si="623"/>
        <v>0.87219999999999998</v>
      </c>
      <c r="G959" s="4">
        <f t="shared" si="623"/>
        <v>0.87219999999999953</v>
      </c>
      <c r="H959" s="4" t="str">
        <f t="shared" si="623"/>
        <v>-</v>
      </c>
      <c r="I959" s="4" t="str">
        <f t="shared" si="623"/>
        <v>-</v>
      </c>
      <c r="J959" s="4" t="str">
        <f t="shared" si="623"/>
        <v>-</v>
      </c>
      <c r="K959" s="4" t="str">
        <f t="shared" si="623"/>
        <v>-</v>
      </c>
    </row>
    <row r="960" spans="2:11" x14ac:dyDescent="0.3">
      <c r="B960" s="5" t="str">
        <f t="shared" si="618"/>
        <v>SPS3</v>
      </c>
      <c r="C960" s="5" t="str">
        <f>C959</f>
        <v>CH</v>
      </c>
      <c r="D960" t="s">
        <v>703</v>
      </c>
      <c r="E960" t="s">
        <v>240</v>
      </c>
      <c r="F960" s="4">
        <f t="shared" ref="F960:K965" si="624">IFERROR(F937/F905,"-")</f>
        <v>0.98999999999999988</v>
      </c>
      <c r="G960" s="4">
        <f t="shared" si="624"/>
        <v>0.98999999999999988</v>
      </c>
      <c r="H960" s="4">
        <f t="shared" si="624"/>
        <v>0</v>
      </c>
      <c r="I960" s="4">
        <f t="shared" si="624"/>
        <v>0</v>
      </c>
      <c r="J960" s="4">
        <f t="shared" si="624"/>
        <v>0</v>
      </c>
      <c r="K960" s="4">
        <f t="shared" si="624"/>
        <v>0</v>
      </c>
    </row>
    <row r="961" spans="2:11" x14ac:dyDescent="0.3">
      <c r="B961" s="5" t="str">
        <f t="shared" si="618"/>
        <v>SPS3</v>
      </c>
      <c r="C961" s="5" t="str">
        <f t="shared" si="620"/>
        <v>CH</v>
      </c>
      <c r="D961" t="s">
        <v>704</v>
      </c>
      <c r="E961" t="s">
        <v>240</v>
      </c>
      <c r="F961" s="4">
        <f t="shared" si="624"/>
        <v>0.99</v>
      </c>
      <c r="G961" s="4">
        <f t="shared" si="624"/>
        <v>0.99</v>
      </c>
      <c r="H961" s="4">
        <f t="shared" si="624"/>
        <v>0</v>
      </c>
      <c r="I961" s="4">
        <f t="shared" si="624"/>
        <v>0</v>
      </c>
      <c r="J961" s="4">
        <f t="shared" si="624"/>
        <v>0</v>
      </c>
      <c r="K961" s="4">
        <f t="shared" si="624"/>
        <v>0</v>
      </c>
    </row>
    <row r="962" spans="2:11" x14ac:dyDescent="0.3">
      <c r="B962" s="5" t="str">
        <f t="shared" si="618"/>
        <v>SPS3</v>
      </c>
      <c r="C962" s="5" t="str">
        <f t="shared" si="620"/>
        <v>CH</v>
      </c>
      <c r="D962" t="s">
        <v>705</v>
      </c>
      <c r="E962" t="s">
        <v>240</v>
      </c>
      <c r="F962" s="4" t="str">
        <f t="shared" si="624"/>
        <v>-</v>
      </c>
      <c r="G962" s="4" t="str">
        <f t="shared" si="624"/>
        <v>-</v>
      </c>
      <c r="H962" s="4" t="str">
        <f t="shared" si="624"/>
        <v>-</v>
      </c>
      <c r="I962" s="4">
        <f t="shared" si="624"/>
        <v>0</v>
      </c>
      <c r="J962" s="4">
        <f t="shared" si="624"/>
        <v>0</v>
      </c>
      <c r="K962" s="4">
        <f t="shared" si="624"/>
        <v>0</v>
      </c>
    </row>
    <row r="963" spans="2:11" x14ac:dyDescent="0.3">
      <c r="B963" s="5" t="str">
        <f t="shared" si="618"/>
        <v>SPS3</v>
      </c>
      <c r="C963" s="5" t="str">
        <f t="shared" si="620"/>
        <v>CH</v>
      </c>
      <c r="D963" t="s">
        <v>706</v>
      </c>
      <c r="E963" t="s">
        <v>240</v>
      </c>
      <c r="F963" s="4" t="str">
        <f t="shared" si="624"/>
        <v>-</v>
      </c>
      <c r="G963" s="4" t="str">
        <f t="shared" si="624"/>
        <v>-</v>
      </c>
      <c r="H963" s="4" t="str">
        <f t="shared" si="624"/>
        <v>-</v>
      </c>
      <c r="I963" s="4">
        <f t="shared" si="624"/>
        <v>0</v>
      </c>
      <c r="J963" s="4">
        <f t="shared" si="624"/>
        <v>0</v>
      </c>
      <c r="K963" s="4">
        <f t="shared" si="624"/>
        <v>0</v>
      </c>
    </row>
    <row r="964" spans="2:11" x14ac:dyDescent="0.3">
      <c r="B964" s="5" t="str">
        <f t="shared" si="618"/>
        <v>SPS3</v>
      </c>
      <c r="C964" s="5" t="str">
        <f t="shared" si="620"/>
        <v>CH</v>
      </c>
      <c r="D964" t="s">
        <v>707</v>
      </c>
      <c r="E964" t="s">
        <v>240</v>
      </c>
      <c r="F964" s="4" t="str">
        <f t="shared" si="624"/>
        <v>-</v>
      </c>
      <c r="G964" s="4" t="str">
        <f t="shared" si="624"/>
        <v>-</v>
      </c>
      <c r="H964" s="4" t="str">
        <f t="shared" si="624"/>
        <v>-</v>
      </c>
      <c r="I964" s="4">
        <f t="shared" si="624"/>
        <v>0</v>
      </c>
      <c r="J964" s="4">
        <f t="shared" si="624"/>
        <v>0</v>
      </c>
      <c r="K964" s="4">
        <f t="shared" si="624"/>
        <v>0</v>
      </c>
    </row>
    <row r="965" spans="2:11" x14ac:dyDescent="0.3">
      <c r="B965" s="5" t="str">
        <f t="shared" si="618"/>
        <v>SPS3</v>
      </c>
      <c r="C965" s="5" t="str">
        <f t="shared" si="620"/>
        <v>CH</v>
      </c>
      <c r="D965" t="s">
        <v>996</v>
      </c>
      <c r="E965" t="s">
        <v>240</v>
      </c>
      <c r="F965" s="4">
        <f t="shared" si="624"/>
        <v>0.99</v>
      </c>
      <c r="G965" s="4">
        <f t="shared" si="624"/>
        <v>0.9899999999999991</v>
      </c>
      <c r="H965" s="4">
        <f t="shared" si="624"/>
        <v>0.82361258176120755</v>
      </c>
      <c r="I965" s="4">
        <f t="shared" si="624"/>
        <v>0.82512614653790928</v>
      </c>
      <c r="J965" s="4">
        <f t="shared" si="624"/>
        <v>0.82512614653791028</v>
      </c>
      <c r="K965" s="4">
        <f t="shared" si="624"/>
        <v>0.82512614653791094</v>
      </c>
    </row>
    <row r="966" spans="2:11" x14ac:dyDescent="0.3">
      <c r="B966" s="5" t="str">
        <f t="shared" si="618"/>
        <v>SPS3</v>
      </c>
      <c r="C966" s="5" t="str">
        <f t="shared" si="620"/>
        <v>CH</v>
      </c>
      <c r="D966" t="s">
        <v>997</v>
      </c>
      <c r="E966" t="s">
        <v>240</v>
      </c>
      <c r="F966" s="4">
        <f t="shared" ref="F966:K966" si="625">IFERROR(F944/F911,"-")</f>
        <v>0.71999999999999975</v>
      </c>
      <c r="G966" s="4">
        <f t="shared" si="625"/>
        <v>0.72</v>
      </c>
      <c r="H966" s="4">
        <f t="shared" si="625"/>
        <v>0.67412339165740875</v>
      </c>
      <c r="I966" s="4">
        <f t="shared" si="625"/>
        <v>0.67412339165740864</v>
      </c>
      <c r="J966" s="4">
        <f t="shared" si="625"/>
        <v>0.67412339165740842</v>
      </c>
      <c r="K966" s="4">
        <f t="shared" si="625"/>
        <v>0.7135778571078083</v>
      </c>
    </row>
    <row r="967" spans="2:11" x14ac:dyDescent="0.3">
      <c r="B967" s="5" t="str">
        <f t="shared" si="618"/>
        <v>SPS3</v>
      </c>
      <c r="C967" s="5" t="str">
        <f t="shared" si="620"/>
        <v>CH</v>
      </c>
      <c r="D967" t="s">
        <v>998</v>
      </c>
      <c r="E967" t="s">
        <v>240</v>
      </c>
      <c r="F967" s="4">
        <f t="shared" ref="F967:K967" si="626">IFERROR(F946/F914,"-")</f>
        <v>0.89999999999999969</v>
      </c>
      <c r="G967" s="4">
        <f t="shared" si="626"/>
        <v>0.89999999999999936</v>
      </c>
      <c r="H967" s="4">
        <f t="shared" si="626"/>
        <v>0.65832674782787748</v>
      </c>
      <c r="I967" s="4">
        <f t="shared" si="626"/>
        <v>0.65832674782787748</v>
      </c>
      <c r="J967" s="4">
        <f t="shared" si="626"/>
        <v>0.65832674782787881</v>
      </c>
      <c r="K967" s="4">
        <f t="shared" si="626"/>
        <v>0.69325969982673885</v>
      </c>
    </row>
    <row r="968" spans="2:11" x14ac:dyDescent="0.3">
      <c r="B968" s="5" t="str">
        <f t="shared" si="618"/>
        <v>SPS3</v>
      </c>
      <c r="C968" s="5" t="str">
        <f t="shared" si="620"/>
        <v>CH</v>
      </c>
      <c r="D968" t="s">
        <v>999</v>
      </c>
      <c r="E968" t="s">
        <v>240</v>
      </c>
      <c r="F968" s="4">
        <f t="shared" ref="F968:K968" si="627">IFERROR(F948/F916,"-")</f>
        <v>1</v>
      </c>
      <c r="G968" s="4">
        <f t="shared" si="627"/>
        <v>1</v>
      </c>
      <c r="H968" s="4">
        <f t="shared" si="627"/>
        <v>1</v>
      </c>
      <c r="I968" s="4">
        <f t="shared" si="627"/>
        <v>1</v>
      </c>
      <c r="J968" s="4">
        <f t="shared" si="627"/>
        <v>1</v>
      </c>
      <c r="K968" s="4">
        <f t="shared" si="627"/>
        <v>1</v>
      </c>
    </row>
    <row r="969" spans="2:11" x14ac:dyDescent="0.3">
      <c r="B969" s="5" t="str">
        <f t="shared" si="618"/>
        <v>SPS3</v>
      </c>
      <c r="C969" s="5" t="str">
        <f t="shared" si="620"/>
        <v>CH</v>
      </c>
      <c r="D969" t="s">
        <v>1000</v>
      </c>
      <c r="E969" t="s">
        <v>240</v>
      </c>
      <c r="F969" s="4" t="str">
        <f t="shared" ref="F969:K969" si="628">IFERROR(F950/F920,"-")</f>
        <v>-</v>
      </c>
      <c r="G969" s="4" t="str">
        <f t="shared" si="628"/>
        <v>-</v>
      </c>
      <c r="H969" s="4" t="str">
        <f t="shared" si="628"/>
        <v>-</v>
      </c>
      <c r="I969" s="4">
        <f t="shared" si="628"/>
        <v>0</v>
      </c>
      <c r="J969" s="4">
        <f t="shared" si="628"/>
        <v>0</v>
      </c>
      <c r="K969" s="4">
        <f t="shared" si="628"/>
        <v>0</v>
      </c>
    </row>
    <row r="970" spans="2:11" x14ac:dyDescent="0.3">
      <c r="B970" s="9" t="str">
        <f t="shared" si="618"/>
        <v>SPS3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219.74119915216448</v>
      </c>
      <c r="G970" s="3">
        <f>[1]Residential!C$26</f>
        <v>217.32679872949939</v>
      </c>
      <c r="H970" s="3">
        <f>[1]Residential!D$26</f>
        <v>215.03485147384373</v>
      </c>
      <c r="I970" s="3">
        <f>[1]Residential!E$26</f>
        <v>193.12364411420324</v>
      </c>
      <c r="J970" s="3">
        <f>[1]Residential!F$26</f>
        <v>167.07966426480522</v>
      </c>
      <c r="K970" s="3">
        <f>[1]Residential!G$26</f>
        <v>144.62354668694348</v>
      </c>
    </row>
    <row r="971" spans="2:11" x14ac:dyDescent="0.3">
      <c r="B971" s="5" t="str">
        <f t="shared" si="618"/>
        <v>SPS3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69.470237544012193</v>
      </c>
      <c r="G971" s="1">
        <f>[1]Residential!C$15</f>
        <v>68.640629118383927</v>
      </c>
      <c r="H971" s="1">
        <f>[1]Residential!D$15</f>
        <v>68.31201546237925</v>
      </c>
      <c r="I971" s="1">
        <f>[1]Residential!E$15</f>
        <v>68.188416239661564</v>
      </c>
      <c r="J971" s="1">
        <f>[1]Residential!F$15</f>
        <v>65.210553618750794</v>
      </c>
      <c r="K971" s="1">
        <f>[1]Residential!G$15</f>
        <v>56.184448369093488</v>
      </c>
    </row>
    <row r="972" spans="2:11" x14ac:dyDescent="0.3">
      <c r="B972" s="5" t="str">
        <f t="shared" si="618"/>
        <v>SPS3</v>
      </c>
      <c r="C972" s="5" t="str">
        <f>C971</f>
        <v>CH</v>
      </c>
      <c r="D972" t="s">
        <v>1002</v>
      </c>
      <c r="E972" t="s">
        <v>8</v>
      </c>
      <c r="F972" s="1">
        <f>SUM(F973:F974)</f>
        <v>15.333329918069358</v>
      </c>
      <c r="G972" s="1">
        <f t="shared" ref="G972:K972" si="629">SUM(G973:G974)</f>
        <v>13.694104370810745</v>
      </c>
      <c r="H972" s="1">
        <f t="shared" si="629"/>
        <v>11.854591003108967</v>
      </c>
      <c r="I972" s="1">
        <f t="shared" si="629"/>
        <v>15.109820233454327</v>
      </c>
      <c r="J972" s="1">
        <f t="shared" si="629"/>
        <v>16.14439030328672</v>
      </c>
      <c r="K972" s="1">
        <f t="shared" si="629"/>
        <v>12.935988474913486</v>
      </c>
    </row>
    <row r="973" spans="2:11" x14ac:dyDescent="0.3">
      <c r="B973" s="5" t="str">
        <f t="shared" si="618"/>
        <v>SPS3</v>
      </c>
      <c r="C973" s="5" t="str">
        <f t="shared" ref="C973" si="630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9.3769365013526027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6.9069317728287682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0.88618511746413886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0.15755670475942574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1.1934535812703361E-2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6.7882677690463836E-3</v>
      </c>
    </row>
    <row r="974" spans="2:11" x14ac:dyDescent="0.3">
      <c r="B974" s="5" t="str">
        <f t="shared" si="618"/>
        <v>SPS3</v>
      </c>
      <c r="C974" s="5" t="str">
        <f t="shared" ref="C974:C978" si="631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5.9563934167167556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6.7871725979819768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10.968405885644827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14.952263528694901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16.132455767474017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12.92920020714444</v>
      </c>
    </row>
    <row r="975" spans="2:11" x14ac:dyDescent="0.3">
      <c r="B975" s="5" t="str">
        <f t="shared" si="618"/>
        <v>SPS3</v>
      </c>
      <c r="C975" s="5" t="str">
        <f t="shared" si="631"/>
        <v>CH</v>
      </c>
      <c r="D975" t="s">
        <v>1003</v>
      </c>
      <c r="E975" t="s">
        <v>8</v>
      </c>
      <c r="F975" s="1">
        <f>SUM(F976:F977)</f>
        <v>9.5599830895341356</v>
      </c>
      <c r="G975" s="1">
        <f t="shared" ref="G975:K975" si="632">SUM(G976:G977)</f>
        <v>10.085331099243831</v>
      </c>
      <c r="H975" s="1">
        <f t="shared" si="632"/>
        <v>8.5893387633634006</v>
      </c>
      <c r="I975" s="1">
        <f t="shared" si="632"/>
        <v>8.0333846537199776</v>
      </c>
      <c r="J975" s="1">
        <f t="shared" si="632"/>
        <v>8.4838431968975438</v>
      </c>
      <c r="K975" s="1">
        <f t="shared" si="632"/>
        <v>7.7310262180911824</v>
      </c>
    </row>
    <row r="976" spans="2:11" x14ac:dyDescent="0.3">
      <c r="B976" s="5" t="str">
        <f t="shared" si="618"/>
        <v>SPS3</v>
      </c>
      <c r="C976" s="5" t="str">
        <f t="shared" si="631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8.4110614165814326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8.7988876375610836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5.9197209033433751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3.9392441567809056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3.1397067575639857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2.6235740601603985</v>
      </c>
    </row>
    <row r="977" spans="2:11" x14ac:dyDescent="0.3">
      <c r="B977" s="5" t="str">
        <f t="shared" si="618"/>
        <v>SPS3</v>
      </c>
      <c r="C977" s="5" t="str">
        <f t="shared" si="631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1.1489216729527021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1.2864434616827474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2.6696178600200247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4.0941404969390724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5.3441364393335578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5.1074521579307843</v>
      </c>
    </row>
    <row r="978" spans="2:11" x14ac:dyDescent="0.3">
      <c r="B978" s="5" t="str">
        <f t="shared" si="618"/>
        <v>SPS3</v>
      </c>
      <c r="C978" s="5" t="str">
        <f t="shared" si="631"/>
        <v>CH</v>
      </c>
      <c r="D978" t="s">
        <v>1004</v>
      </c>
      <c r="E978" t="s">
        <v>8</v>
      </c>
      <c r="F978" s="1">
        <f>[1]Residential!B$3-([1]Residential!B$10-[1]Residential!B$244)</f>
        <v>44.576924536408704</v>
      </c>
      <c r="G978" s="1">
        <f>[1]Residential!C$3-([1]Residential!C$10-[1]Residential!C$244)</f>
        <v>44.861193648329355</v>
      </c>
      <c r="H978" s="1">
        <f>[1]Residential!D$3-([1]Residential!D$10-[1]Residential!D$244)</f>
        <v>47.868085695906885</v>
      </c>
      <c r="I978" s="1">
        <f>[1]Residential!E$3-([1]Residential!E$10-[1]Residential!E$244)</f>
        <v>45.045211352487264</v>
      </c>
      <c r="J978" s="1">
        <f>[1]Residential!F$3-([1]Residential!F$10-[1]Residential!F$244)</f>
        <v>40.582320118566521</v>
      </c>
      <c r="K978" s="1">
        <f>[1]Residential!G$3-([1]Residential!G$10-[1]Residential!G$244)</f>
        <v>35.517433676088814</v>
      </c>
    </row>
    <row r="979" spans="2:11" x14ac:dyDescent="0.3">
      <c r="B979" s="5" t="str">
        <f t="shared" si="618"/>
        <v>SPS3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60.231932098015747</v>
      </c>
      <c r="G979" s="1">
        <f>SUM([1]Residential!C$16:C$17)</f>
        <v>51.320065337172423</v>
      </c>
      <c r="H979" s="1">
        <f>SUM([1]Residential!D$16:D$17)</f>
        <v>47.353215332413797</v>
      </c>
      <c r="I979" s="1">
        <f>SUM([1]Residential!E$16:E$17)</f>
        <v>20.840803572192151</v>
      </c>
      <c r="J979" s="1">
        <f>SUM([1]Residential!F$16:F$17)</f>
        <v>2.8872741770479187</v>
      </c>
      <c r="K979" s="1">
        <f>SUM([1]Residential!G$16:G$17)</f>
        <v>0.1602876303715268</v>
      </c>
    </row>
    <row r="980" spans="2:11" x14ac:dyDescent="0.3">
      <c r="B980" s="5" t="str">
        <f t="shared" si="618"/>
        <v>SPS3</v>
      </c>
      <c r="C980" s="5" t="str">
        <f t="shared" ref="C980:C991" si="633">C979</f>
        <v>CH</v>
      </c>
      <c r="D980" t="s">
        <v>1005</v>
      </c>
      <c r="E980" t="s">
        <v>8</v>
      </c>
      <c r="F980" s="1">
        <f>[1]Residential!B$16</f>
        <v>60.231932098015747</v>
      </c>
      <c r="G980" s="1">
        <f>[1]Residential!C$16</f>
        <v>51.320065337172423</v>
      </c>
      <c r="H980" s="1">
        <f>[1]Residential!D$16</f>
        <v>47.350774520131694</v>
      </c>
      <c r="I980" s="1">
        <f>[1]Residential!E$16</f>
        <v>20.835642121837971</v>
      </c>
      <c r="J980" s="1">
        <f>[1]Residential!F$16</f>
        <v>2.8827681177521782</v>
      </c>
      <c r="K980" s="1">
        <f>[1]Residential!G$16</f>
        <v>1.1953405853064706E-4</v>
      </c>
    </row>
    <row r="981" spans="2:11" x14ac:dyDescent="0.3">
      <c r="B981" s="5" t="str">
        <f t="shared" si="618"/>
        <v>SPS3</v>
      </c>
      <c r="C981" s="5" t="str">
        <f t="shared" si="633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2.4408122820996341E-3</v>
      </c>
      <c r="I981" s="1">
        <f>[1]Residential!E$17</f>
        <v>5.1614503541804659E-3</v>
      </c>
      <c r="J981" s="1">
        <f>[1]Residential!F$17</f>
        <v>4.5060592957404458E-3</v>
      </c>
      <c r="K981" s="1">
        <f>[1]Residential!G$17</f>
        <v>0.16016809631299614</v>
      </c>
    </row>
    <row r="982" spans="2:11" x14ac:dyDescent="0.3">
      <c r="B982" s="5" t="str">
        <f t="shared" si="618"/>
        <v>SPS3</v>
      </c>
      <c r="C982" s="5" t="str">
        <f t="shared" si="633"/>
        <v>CH</v>
      </c>
      <c r="D982" t="s">
        <v>1007</v>
      </c>
      <c r="E982" t="s">
        <v>8</v>
      </c>
      <c r="F982" s="1">
        <f>SUM(F984,F986)</f>
        <v>50.371477388243918</v>
      </c>
      <c r="G982" s="1">
        <f t="shared" ref="G982:K982" si="634">SUM(G984,G986)</f>
        <v>43.558712506765843</v>
      </c>
      <c r="H982" s="1">
        <f t="shared" si="634"/>
        <v>38.756881268588955</v>
      </c>
      <c r="I982" s="1">
        <f t="shared" si="634"/>
        <v>17.471153288540176</v>
      </c>
      <c r="J982" s="1">
        <f t="shared" si="634"/>
        <v>2.2013856487431016</v>
      </c>
      <c r="K982" s="1">
        <f t="shared" si="634"/>
        <v>0.13424500194556199</v>
      </c>
    </row>
    <row r="983" spans="2:11" x14ac:dyDescent="0.3">
      <c r="B983" s="5" t="str">
        <f t="shared" si="618"/>
        <v>SPS3</v>
      </c>
      <c r="C983" s="5" t="str">
        <f t="shared" si="633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50.371477388243918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43.558712506765843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38.756881268588955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17.471153288540176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2.2013856487431016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0.13424500194556199</v>
      </c>
    </row>
    <row r="984" spans="2:11" x14ac:dyDescent="0.3">
      <c r="B984" s="5" t="str">
        <f t="shared" si="618"/>
        <v>SPS3</v>
      </c>
      <c r="C984" s="5" t="str">
        <f t="shared" si="633"/>
        <v>CH</v>
      </c>
      <c r="D984" t="s">
        <v>1008</v>
      </c>
      <c r="E984" t="s">
        <v>8</v>
      </c>
      <c r="F984" s="1">
        <f>F985</f>
        <v>50.371477388243918</v>
      </c>
      <c r="G984" s="1">
        <f t="shared" ref="G984:K984" si="635">G985</f>
        <v>43.558712506765843</v>
      </c>
      <c r="H984" s="1">
        <f t="shared" si="635"/>
        <v>38.754883552675636</v>
      </c>
      <c r="I984" s="1">
        <f t="shared" si="635"/>
        <v>17.466826368514436</v>
      </c>
      <c r="J984" s="1">
        <f t="shared" si="635"/>
        <v>2.1979500296581933</v>
      </c>
      <c r="K984" s="1">
        <f t="shared" si="635"/>
        <v>1.0011284016622513E-4</v>
      </c>
    </row>
    <row r="985" spans="2:11" x14ac:dyDescent="0.3">
      <c r="B985" s="5" t="str">
        <f t="shared" si="618"/>
        <v>SPS3</v>
      </c>
      <c r="C985" s="5" t="str">
        <f t="shared" si="633"/>
        <v>CH</v>
      </c>
      <c r="D985" t="s">
        <v>709</v>
      </c>
      <c r="E985" t="s">
        <v>8</v>
      </c>
      <c r="F985" s="1">
        <f>F983*IFERROR(F980/F979,0)</f>
        <v>50.371477388243918</v>
      </c>
      <c r="G985" s="1">
        <f t="shared" ref="G985:K985" si="636">G983*IFERROR(G980/G979,0)</f>
        <v>43.558712506765843</v>
      </c>
      <c r="H985" s="1">
        <f t="shared" si="636"/>
        <v>38.754883552675636</v>
      </c>
      <c r="I985" s="1">
        <f t="shared" si="636"/>
        <v>17.466826368514436</v>
      </c>
      <c r="J985" s="1">
        <f t="shared" si="636"/>
        <v>2.1979500296581933</v>
      </c>
      <c r="K985" s="1">
        <f t="shared" si="636"/>
        <v>1.0011284016622513E-4</v>
      </c>
    </row>
    <row r="986" spans="2:11" x14ac:dyDescent="0.3">
      <c r="B986" s="5" t="str">
        <f t="shared" si="618"/>
        <v>SPS3</v>
      </c>
      <c r="C986" s="5" t="str">
        <f t="shared" si="633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37">G987</f>
        <v>0</v>
      </c>
      <c r="H986" s="1">
        <f t="shared" si="637"/>
        <v>1.997715913319098E-3</v>
      </c>
      <c r="I986" s="1">
        <f t="shared" si="637"/>
        <v>4.3269200257398666E-3</v>
      </c>
      <c r="J986" s="1">
        <f t="shared" si="637"/>
        <v>3.4356190849083035E-3</v>
      </c>
      <c r="K986" s="1">
        <f t="shared" si="637"/>
        <v>0.13414488910539576</v>
      </c>
    </row>
    <row r="987" spans="2:11" x14ac:dyDescent="0.3">
      <c r="B987" s="5" t="str">
        <f t="shared" si="618"/>
        <v>SPS3</v>
      </c>
      <c r="C987" s="5" t="str">
        <f t="shared" si="633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38">G983-G985</f>
        <v>0</v>
      </c>
      <c r="H987" s="1">
        <f t="shared" si="638"/>
        <v>1.997715913319098E-3</v>
      </c>
      <c r="I987" s="1">
        <f t="shared" si="638"/>
        <v>4.3269200257398666E-3</v>
      </c>
      <c r="J987" s="1">
        <f t="shared" si="638"/>
        <v>3.4356190849083035E-3</v>
      </c>
      <c r="K987" s="1">
        <f t="shared" si="638"/>
        <v>0.13414488910539576</v>
      </c>
    </row>
    <row r="988" spans="2:11" x14ac:dyDescent="0.3">
      <c r="B988" s="5" t="str">
        <f t="shared" si="618"/>
        <v>SPS3</v>
      </c>
      <c r="C988" s="5" t="str">
        <f t="shared" si="633"/>
        <v>CH</v>
      </c>
      <c r="D988" t="s">
        <v>1010</v>
      </c>
      <c r="E988" t="s">
        <v>8</v>
      </c>
      <c r="F988" s="1">
        <f>F989</f>
        <v>9.8604547097718402</v>
      </c>
      <c r="G988" s="1">
        <f t="shared" ref="G988:K988" si="639">G989</f>
        <v>7.7613528304065778</v>
      </c>
      <c r="H988" s="1">
        <f t="shared" si="639"/>
        <v>8.5963340638248447</v>
      </c>
      <c r="I988" s="1">
        <f t="shared" si="639"/>
        <v>3.3696502836519739</v>
      </c>
      <c r="J988" s="1">
        <f t="shared" si="639"/>
        <v>0.68588852830481739</v>
      </c>
      <c r="K988" s="1">
        <f t="shared" si="639"/>
        <v>2.6042628425964807E-2</v>
      </c>
    </row>
    <row r="989" spans="2:11" x14ac:dyDescent="0.3">
      <c r="B989" s="5" t="str">
        <f t="shared" si="618"/>
        <v>SPS3</v>
      </c>
      <c r="C989" s="5" t="str">
        <f t="shared" si="633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9.8604547097718402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7.7613528304065778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8.5963340638248447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3.3696502836519739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0.68588852830481739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2.6042628425964807E-2</v>
      </c>
    </row>
    <row r="990" spans="2:11" x14ac:dyDescent="0.3">
      <c r="B990" s="5" t="str">
        <f t="shared" si="618"/>
        <v>SPS3</v>
      </c>
      <c r="C990" s="5" t="str">
        <f t="shared" si="633"/>
        <v>CH</v>
      </c>
      <c r="D990" t="s">
        <v>712</v>
      </c>
      <c r="E990" t="s">
        <v>8</v>
      </c>
      <c r="F990" s="1">
        <f>IFERROR(F980/F979,0)*F989</f>
        <v>9.8604547097718402</v>
      </c>
      <c r="G990" s="1">
        <f t="shared" ref="G990:K990" si="640">IFERROR(G980/G979,0)*G989</f>
        <v>7.7613528304065778</v>
      </c>
      <c r="H990" s="1">
        <f t="shared" si="640"/>
        <v>8.5958909674560608</v>
      </c>
      <c r="I990" s="1">
        <f t="shared" si="640"/>
        <v>3.3688157533235357</v>
      </c>
      <c r="J990" s="1">
        <f t="shared" si="640"/>
        <v>0.68481808809398514</v>
      </c>
      <c r="K990" s="1">
        <f t="shared" si="640"/>
        <v>1.9421218364421925E-5</v>
      </c>
    </row>
    <row r="991" spans="2:11" x14ac:dyDescent="0.3">
      <c r="B991" s="5" t="str">
        <f t="shared" si="618"/>
        <v>SPS3</v>
      </c>
      <c r="C991" s="5" t="str">
        <f t="shared" si="633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41">G989-G990</f>
        <v>0</v>
      </c>
      <c r="H991" s="1">
        <f t="shared" si="641"/>
        <v>4.4309636878381298E-4</v>
      </c>
      <c r="I991" s="1">
        <f t="shared" si="641"/>
        <v>8.3453032843827657E-4</v>
      </c>
      <c r="J991" s="1">
        <f t="shared" si="641"/>
        <v>1.0704402108322464E-3</v>
      </c>
      <c r="K991" s="1">
        <f t="shared" si="641"/>
        <v>2.6023207207600384E-2</v>
      </c>
    </row>
    <row r="992" spans="2:11" x14ac:dyDescent="0.3">
      <c r="B992" s="5" t="str">
        <f t="shared" si="618"/>
        <v>SPS3</v>
      </c>
      <c r="C992" s="5" t="str">
        <f>C991</f>
        <v>CH</v>
      </c>
      <c r="D992" t="s">
        <v>677</v>
      </c>
      <c r="E992" t="s">
        <v>8</v>
      </c>
      <c r="F992" s="1">
        <f>SUM(F993:F994)</f>
        <v>47.002031974739886</v>
      </c>
      <c r="G992" s="1">
        <f t="shared" ref="G992:K992" si="642">SUM(G993:G994)</f>
        <v>48.260467619247507</v>
      </c>
      <c r="H992" s="1">
        <f t="shared" si="642"/>
        <v>44.962099679771512</v>
      </c>
      <c r="I992" s="1">
        <f t="shared" si="642"/>
        <v>33.206120654048533</v>
      </c>
      <c r="J992" s="1">
        <f t="shared" si="642"/>
        <v>15.847816451592411</v>
      </c>
      <c r="K992" s="1">
        <f t="shared" si="642"/>
        <v>10.406589421948043</v>
      </c>
    </row>
    <row r="993" spans="2:13" x14ac:dyDescent="0.3">
      <c r="B993" s="5" t="str">
        <f t="shared" si="618"/>
        <v>SPS3</v>
      </c>
      <c r="C993" s="5" t="str">
        <f t="shared" ref="C993:C1053" si="643">C992</f>
        <v>CH</v>
      </c>
      <c r="D993" t="s">
        <v>1011</v>
      </c>
      <c r="E993" t="s">
        <v>8</v>
      </c>
      <c r="F993" s="1">
        <f>[1]Residential!B$18</f>
        <v>46.70123652059678</v>
      </c>
      <c r="G993" s="1">
        <f>[1]Residential!C$18</f>
        <v>47.614146055145426</v>
      </c>
      <c r="H993" s="1">
        <f>[1]Residential!D$18</f>
        <v>44.421948586094118</v>
      </c>
      <c r="I993" s="1">
        <f>[1]Residential!E$18</f>
        <v>29.074002069883992</v>
      </c>
      <c r="J993" s="1">
        <f>[1]Residential!F$18</f>
        <v>14.387923159409233</v>
      </c>
      <c r="K993" s="1">
        <f>[1]Residential!G$18</f>
        <v>10.403661922597262</v>
      </c>
    </row>
    <row r="994" spans="2:13" x14ac:dyDescent="0.3">
      <c r="B994" s="5" t="str">
        <f t="shared" si="618"/>
        <v>SPS3</v>
      </c>
      <c r="C994" s="5" t="str">
        <f t="shared" si="643"/>
        <v>CH</v>
      </c>
      <c r="D994" t="s">
        <v>1012</v>
      </c>
      <c r="E994" t="s">
        <v>8</v>
      </c>
      <c r="F994" s="1">
        <f>[1]Residential!B$19</f>
        <v>0.30079545414310782</v>
      </c>
      <c r="G994" s="1">
        <f>[1]Residential!C$19</f>
        <v>0.64632156410208363</v>
      </c>
      <c r="H994" s="1">
        <f>[1]Residential!D$19</f>
        <v>0.54015109367739633</v>
      </c>
      <c r="I994" s="1">
        <f>[1]Residential!E$19</f>
        <v>4.1321185841645391</v>
      </c>
      <c r="J994" s="1">
        <f>[1]Residential!F$19</f>
        <v>1.4598932921831782</v>
      </c>
      <c r="K994" s="1">
        <f>[1]Residential!G$19</f>
        <v>2.9274993507802864E-3</v>
      </c>
    </row>
    <row r="995" spans="2:13" x14ac:dyDescent="0.3">
      <c r="B995" s="5" t="str">
        <f t="shared" si="618"/>
        <v>SPS3</v>
      </c>
      <c r="C995" s="5" t="str">
        <f t="shared" si="643"/>
        <v>CH</v>
      </c>
      <c r="D995" t="s">
        <v>1013</v>
      </c>
      <c r="E995" t="s">
        <v>8</v>
      </c>
      <c r="F995" s="1">
        <f>SUM(F996:F997)</f>
        <v>38.494722859526192</v>
      </c>
      <c r="G995" s="1">
        <f t="shared" ref="G995:K995" si="644">SUM(G996:G997)</f>
        <v>40.911620772867124</v>
      </c>
      <c r="H995" s="1">
        <f t="shared" si="644"/>
        <v>35.141816716179299</v>
      </c>
      <c r="I995" s="1">
        <f t="shared" si="644"/>
        <v>26.616516811668333</v>
      </c>
      <c r="J995" s="1">
        <f t="shared" si="644"/>
        <v>11.887483430174015</v>
      </c>
      <c r="K995" s="1">
        <f t="shared" si="644"/>
        <v>7.6947074879124591</v>
      </c>
    </row>
    <row r="996" spans="2:13" x14ac:dyDescent="0.3">
      <c r="B996" s="5" t="str">
        <f t="shared" si="618"/>
        <v>SPS3</v>
      </c>
      <c r="C996" s="5" t="str">
        <f t="shared" si="643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38.494722859526192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40.911620772867124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33.062478552705542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22.439194324155153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6.0999693736197607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3.3252824725479906</v>
      </c>
    </row>
    <row r="997" spans="2:13" x14ac:dyDescent="0.3">
      <c r="B997" s="5" t="str">
        <f t="shared" si="618"/>
        <v>SPS3</v>
      </c>
      <c r="C997" s="5" t="str">
        <f t="shared" si="643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2.0793381634737558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4.1773224875131785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5.7875140565542544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4.3694250153644685</v>
      </c>
    </row>
    <row r="998" spans="2:13" x14ac:dyDescent="0.3">
      <c r="B998" s="5" t="str">
        <f t="shared" si="618"/>
        <v>SPS3</v>
      </c>
      <c r="C998" s="5" t="str">
        <f t="shared" si="643"/>
        <v>CH</v>
      </c>
      <c r="D998" t="s">
        <v>1014</v>
      </c>
      <c r="E998" t="s">
        <v>8</v>
      </c>
      <c r="F998" s="1">
        <f>SUM(F999:F1000)</f>
        <v>38.248371007102726</v>
      </c>
      <c r="G998" s="1">
        <f t="shared" ref="G998:K998" si="645">SUM(G999:G1000)</f>
        <v>40.363717612531289</v>
      </c>
      <c r="H998" s="1">
        <f t="shared" si="645"/>
        <v>34.719641353635119</v>
      </c>
      <c r="I998" s="1">
        <f t="shared" si="645"/>
        <v>23.304398395035001</v>
      </c>
      <c r="J998" s="1">
        <f t="shared" si="645"/>
        <v>10.792414126862774</v>
      </c>
      <c r="K998" s="1">
        <f t="shared" si="645"/>
        <v>7.6925428737183221</v>
      </c>
    </row>
    <row r="999" spans="2:13" x14ac:dyDescent="0.3">
      <c r="B999" s="5" t="str">
        <f t="shared" si="618"/>
        <v>SPS3</v>
      </c>
      <c r="C999" s="5" t="str">
        <f t="shared" si="643"/>
        <v>CH</v>
      </c>
      <c r="D999" t="s">
        <v>716</v>
      </c>
      <c r="E999" t="s">
        <v>8</v>
      </c>
      <c r="F999" s="1">
        <f>F996-F1002</f>
        <v>38.248371007102726</v>
      </c>
      <c r="G999" s="1">
        <f t="shared" ref="G999:K999" si="646">G996-G1002</f>
        <v>40.363717612531289</v>
      </c>
      <c r="H999" s="1">
        <f t="shared" si="646"/>
        <v>32.665283268741433</v>
      </c>
      <c r="I999" s="1">
        <f t="shared" si="646"/>
        <v>19.646895493270303</v>
      </c>
      <c r="J999" s="1">
        <f t="shared" si="646"/>
        <v>5.5380431045799972</v>
      </c>
      <c r="K999" s="1">
        <f t="shared" si="646"/>
        <v>3.3243470304079352</v>
      </c>
    </row>
    <row r="1000" spans="2:13" x14ac:dyDescent="0.3">
      <c r="B1000" s="5" t="str">
        <f t="shared" si="618"/>
        <v>SPS3</v>
      </c>
      <c r="C1000" s="5" t="str">
        <f t="shared" si="643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47">G997-G1003</f>
        <v>0</v>
      </c>
      <c r="H1000" s="1">
        <f t="shared" si="647"/>
        <v>2.0543580848936887</v>
      </c>
      <c r="I1000" s="1">
        <f t="shared" si="647"/>
        <v>3.6575029017646958</v>
      </c>
      <c r="J1000" s="1">
        <f t="shared" si="647"/>
        <v>5.2543710222827773</v>
      </c>
      <c r="K1000" s="1">
        <f t="shared" si="647"/>
        <v>4.3681958433103869</v>
      </c>
    </row>
    <row r="1001" spans="2:13" x14ac:dyDescent="0.3">
      <c r="B1001" s="5" t="str">
        <f t="shared" si="618"/>
        <v>SPS3</v>
      </c>
      <c r="C1001" s="5" t="str">
        <f t="shared" si="643"/>
        <v>CH</v>
      </c>
      <c r="D1001" t="s">
        <v>1015</v>
      </c>
      <c r="E1001" t="s">
        <v>8</v>
      </c>
      <c r="F1001" s="1">
        <f>SUM(F1002:F1003)</f>
        <v>0.24635185242346821</v>
      </c>
      <c r="G1001" s="1">
        <f t="shared" ref="G1001:K1001" si="648">SUM(G1002:G1003)</f>
        <v>0.54790316033583164</v>
      </c>
      <c r="H1001" s="1">
        <f t="shared" si="648"/>
        <v>0.42217536254417465</v>
      </c>
      <c r="I1001" s="1">
        <f t="shared" si="648"/>
        <v>3.3121184166333317</v>
      </c>
      <c r="J1001" s="1">
        <f t="shared" si="648"/>
        <v>1.0950693033112406</v>
      </c>
      <c r="K1001" s="1">
        <f t="shared" si="648"/>
        <v>2.1646141941373113E-3</v>
      </c>
      <c r="L1001" s="1"/>
    </row>
    <row r="1002" spans="2:13" x14ac:dyDescent="0.3">
      <c r="B1002" s="5" t="str">
        <f t="shared" si="618"/>
        <v>SPS3</v>
      </c>
      <c r="C1002" s="5" t="str">
        <f t="shared" si="643"/>
        <v>CH</v>
      </c>
      <c r="D1002" t="s">
        <v>717</v>
      </c>
      <c r="E1002" t="s">
        <v>8</v>
      </c>
      <c r="F1002" s="1">
        <f>F996*IFERROR(F$994/F$992,0)</f>
        <v>0.24635185242346821</v>
      </c>
      <c r="G1002" s="1">
        <f t="shared" ref="G1002:K1002" si="649">G996*IFERROR(G994/G992,0)</f>
        <v>0.54790316033583164</v>
      </c>
      <c r="H1002" s="1">
        <f t="shared" si="649"/>
        <v>0.39719528396410764</v>
      </c>
      <c r="I1002" s="1">
        <f t="shared" si="649"/>
        <v>2.7922988308848491</v>
      </c>
      <c r="J1002" s="1">
        <f t="shared" si="649"/>
        <v>0.56192626903976373</v>
      </c>
      <c r="K1002" s="1">
        <f t="shared" si="649"/>
        <v>9.3544214005543283E-4</v>
      </c>
    </row>
    <row r="1003" spans="2:13" x14ac:dyDescent="0.3">
      <c r="B1003" s="5" t="str">
        <f t="shared" si="618"/>
        <v>SPS3</v>
      </c>
      <c r="C1003" s="5" t="str">
        <f t="shared" si="643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50">G997*IFERROR(G$994/G$992,0)</f>
        <v>0</v>
      </c>
      <c r="H1003" s="1">
        <f t="shared" si="650"/>
        <v>2.4980078580067004E-2</v>
      </c>
      <c r="I1003" s="1">
        <f t="shared" si="650"/>
        <v>0.51981958574848275</v>
      </c>
      <c r="J1003" s="1">
        <f t="shared" si="650"/>
        <v>0.53314303427147702</v>
      </c>
      <c r="K1003" s="1">
        <f t="shared" si="650"/>
        <v>1.2291720540818785E-3</v>
      </c>
    </row>
    <row r="1004" spans="2:13" x14ac:dyDescent="0.3">
      <c r="B1004" s="5" t="str">
        <f t="shared" si="618"/>
        <v>SPS3</v>
      </c>
      <c r="C1004" s="5" t="str">
        <f t="shared" si="643"/>
        <v>CH</v>
      </c>
      <c r="D1004" t="s">
        <v>1016</v>
      </c>
      <c r="E1004" t="s">
        <v>8</v>
      </c>
      <c r="F1004" s="1">
        <f>SUM(F1005:F1006)</f>
        <v>8.5073091152136939</v>
      </c>
      <c r="G1004" s="1">
        <f t="shared" ref="G1004:K1004" si="651">SUM(G1005:G1006)</f>
        <v>7.3488468463803827</v>
      </c>
      <c r="H1004" s="1">
        <f t="shared" si="651"/>
        <v>9.8202829635922146</v>
      </c>
      <c r="I1004" s="1">
        <f t="shared" si="651"/>
        <v>6.5896038423802015</v>
      </c>
      <c r="J1004" s="1">
        <f t="shared" si="651"/>
        <v>3.9603330214183963</v>
      </c>
      <c r="K1004" s="1">
        <f t="shared" si="651"/>
        <v>2.711881934035584</v>
      </c>
      <c r="L1004" s="1"/>
      <c r="M1004" s="19"/>
    </row>
    <row r="1005" spans="2:13" x14ac:dyDescent="0.3">
      <c r="B1005" s="5" t="str">
        <f t="shared" si="618"/>
        <v>SPS3</v>
      </c>
      <c r="C1005" s="5" t="str">
        <f t="shared" si="643"/>
        <v>CH</v>
      </c>
      <c r="D1005" t="s">
        <v>719</v>
      </c>
      <c r="E1005" t="s">
        <v>8</v>
      </c>
      <c r="F1005" s="1">
        <f>F992-F996-F997-F1006</f>
        <v>8.5073091152136939</v>
      </c>
      <c r="G1005" s="1">
        <f t="shared" ref="G1005:K1005" si="652">G992-G996-G997-G1006</f>
        <v>7.3488468463803827</v>
      </c>
      <c r="H1005" s="1">
        <f t="shared" si="652"/>
        <v>9.396328398193333</v>
      </c>
      <c r="I1005" s="1">
        <f t="shared" si="652"/>
        <v>5.5199959931397213</v>
      </c>
      <c r="J1005" s="1">
        <f t="shared" si="652"/>
        <v>2.2409738566695387</v>
      </c>
      <c r="K1005" s="1">
        <f t="shared" si="652"/>
        <v>1.3386811267635788</v>
      </c>
    </row>
    <row r="1006" spans="2:13" x14ac:dyDescent="0.3">
      <c r="B1006" s="5" t="str">
        <f t="shared" si="618"/>
        <v>SPS3</v>
      </c>
      <c r="C1006" s="5" t="str">
        <f t="shared" si="643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0.42395456539888249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1.0696078492404804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1.7193591647488575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1.3732008072720052</v>
      </c>
    </row>
    <row r="1007" spans="2:13" x14ac:dyDescent="0.3">
      <c r="B1007" s="5" t="str">
        <f t="shared" si="618"/>
        <v>SPS3</v>
      </c>
      <c r="C1007" s="5" t="str">
        <f t="shared" si="643"/>
        <v>CH</v>
      </c>
      <c r="D1007" t="s">
        <v>1017</v>
      </c>
      <c r="E1007" t="s">
        <v>8</v>
      </c>
      <c r="F1007" s="1">
        <f>SUM(F1008:F1009)</f>
        <v>8.4528655134940536</v>
      </c>
      <c r="G1007" s="1">
        <f t="shared" ref="G1007:K1007" si="653">SUM(G1008:G1009)</f>
        <v>7.2504284426141306</v>
      </c>
      <c r="H1007" s="1">
        <f t="shared" si="653"/>
        <v>9.7023072324589936</v>
      </c>
      <c r="I1007" s="1">
        <f t="shared" si="653"/>
        <v>5.7696036748489945</v>
      </c>
      <c r="J1007" s="1">
        <f t="shared" si="653"/>
        <v>3.5955090325464591</v>
      </c>
      <c r="K1007" s="1">
        <f t="shared" si="653"/>
        <v>2.711119048878941</v>
      </c>
    </row>
    <row r="1008" spans="2:13" x14ac:dyDescent="0.3">
      <c r="B1008" s="5" t="str">
        <f t="shared" si="618"/>
        <v>SPS3</v>
      </c>
      <c r="C1008" s="5" t="str">
        <f t="shared" si="643"/>
        <v>CH</v>
      </c>
      <c r="D1008" t="s">
        <v>718</v>
      </c>
      <c r="E1008" t="s">
        <v>8</v>
      </c>
      <c r="F1008" s="1">
        <f>F1005-F1011</f>
        <v>8.4528655134940536</v>
      </c>
      <c r="G1008" s="1">
        <f t="shared" ref="G1008:K1008" si="654">G1005-G1011</f>
        <v>7.2504284426141306</v>
      </c>
      <c r="H1008" s="1">
        <f t="shared" si="654"/>
        <v>9.2834458349459688</v>
      </c>
      <c r="I1008" s="1">
        <f t="shared" si="654"/>
        <v>4.8330961813429614</v>
      </c>
      <c r="J1008" s="1">
        <f t="shared" si="654"/>
        <v>2.0345364139276403</v>
      </c>
      <c r="K1008" s="1">
        <f t="shared" si="654"/>
        <v>1.3383045395868773</v>
      </c>
    </row>
    <row r="1009" spans="2:11" x14ac:dyDescent="0.3">
      <c r="B1009" s="5" t="str">
        <f t="shared" si="618"/>
        <v>SPS3</v>
      </c>
      <c r="C1009" s="5" t="str">
        <f t="shared" si="643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55">G1006-G1012</f>
        <v>0</v>
      </c>
      <c r="H1009" s="1">
        <f t="shared" si="655"/>
        <v>0.41886139751302509</v>
      </c>
      <c r="I1009" s="1">
        <f t="shared" si="655"/>
        <v>0.93650749350603268</v>
      </c>
      <c r="J1009" s="1">
        <f t="shared" si="655"/>
        <v>1.5609726186188189</v>
      </c>
      <c r="K1009" s="1">
        <f t="shared" si="655"/>
        <v>1.3728145092920636</v>
      </c>
    </row>
    <row r="1010" spans="2:11" x14ac:dyDescent="0.3">
      <c r="B1010" s="5" t="str">
        <f t="shared" si="618"/>
        <v>SPS3</v>
      </c>
      <c r="C1010" s="5" t="str">
        <f t="shared" si="643"/>
        <v>CH</v>
      </c>
      <c r="D1010" t="s">
        <v>1018</v>
      </c>
      <c r="E1010" t="s">
        <v>8</v>
      </c>
      <c r="F1010" s="1">
        <f t="shared" ref="F1010:K1010" si="656">SUM(F1011:F1012)</f>
        <v>5.4443601719639599E-2</v>
      </c>
      <c r="G1010" s="1">
        <f t="shared" si="656"/>
        <v>9.8418403766252049E-2</v>
      </c>
      <c r="H1010" s="1">
        <f t="shared" si="656"/>
        <v>0.11797573113322171</v>
      </c>
      <c r="I1010" s="1">
        <f t="shared" si="656"/>
        <v>0.82000016753120764</v>
      </c>
      <c r="J1010" s="1">
        <f t="shared" si="656"/>
        <v>0.36482398887193734</v>
      </c>
      <c r="K1010" s="1">
        <f t="shared" si="656"/>
        <v>7.62885156642975E-4</v>
      </c>
    </row>
    <row r="1011" spans="2:11" x14ac:dyDescent="0.3">
      <c r="B1011" s="5" t="str">
        <f t="shared" si="618"/>
        <v>SPS3</v>
      </c>
      <c r="C1011" s="5" t="str">
        <f t="shared" si="643"/>
        <v>CH</v>
      </c>
      <c r="D1011" t="s">
        <v>738</v>
      </c>
      <c r="E1011" t="s">
        <v>8</v>
      </c>
      <c r="F1011" s="1">
        <f>F1005*IFERROR(F$994/F$992,0)</f>
        <v>5.4443601719639599E-2</v>
      </c>
      <c r="G1011" s="1">
        <f t="shared" ref="G1011:K1011" si="657">G1005*IFERROR(G$994/G$992,0)</f>
        <v>9.8418403766252049E-2</v>
      </c>
      <c r="H1011" s="1">
        <f t="shared" si="657"/>
        <v>0.11288256324736431</v>
      </c>
      <c r="I1011" s="1">
        <f t="shared" si="657"/>
        <v>0.68689981179675985</v>
      </c>
      <c r="J1011" s="1">
        <f t="shared" si="657"/>
        <v>0.20643744274189857</v>
      </c>
      <c r="K1011" s="1">
        <f t="shared" si="657"/>
        <v>3.7658717670141262E-4</v>
      </c>
    </row>
    <row r="1012" spans="2:11" x14ac:dyDescent="0.3">
      <c r="B1012" s="5" t="str">
        <f t="shared" ref="B1012:B1075" si="658">B1011</f>
        <v>SPS3</v>
      </c>
      <c r="C1012" s="5" t="str">
        <f t="shared" si="643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59">G1006*IFERROR(G$994/G$992,0)</f>
        <v>0</v>
      </c>
      <c r="H1012" s="1">
        <f t="shared" si="659"/>
        <v>5.0931678858574013E-3</v>
      </c>
      <c r="I1012" s="1">
        <f t="shared" si="659"/>
        <v>0.13310035573444773</v>
      </c>
      <c r="J1012" s="1">
        <f t="shared" si="659"/>
        <v>0.15838654613003877</v>
      </c>
      <c r="K1012" s="1">
        <f t="shared" si="659"/>
        <v>3.8629797994156238E-4</v>
      </c>
    </row>
    <row r="1013" spans="2:11" x14ac:dyDescent="0.3">
      <c r="B1013" s="5" t="str">
        <f t="shared" si="658"/>
        <v>SPS3</v>
      </c>
      <c r="C1013" s="5" t="str">
        <f t="shared" si="643"/>
        <v>CH</v>
      </c>
      <c r="D1013" t="s">
        <v>1019</v>
      </c>
      <c r="E1013" t="s">
        <v>8</v>
      </c>
      <c r="F1013" s="1">
        <f>[1]Residential!B$20</f>
        <v>0.10000495692858771</v>
      </c>
      <c r="G1013" s="1">
        <f>[1]Residential!C$20</f>
        <v>9.9996907875814334E-2</v>
      </c>
      <c r="H1013" s="1">
        <f>[1]Residential!D$20</f>
        <v>2.5907366066176715E-2</v>
      </c>
      <c r="I1013" s="1">
        <f>[1]Residential!E$20</f>
        <v>0</v>
      </c>
      <c r="J1013" s="1">
        <f>[1]Residential!F$20</f>
        <v>0</v>
      </c>
      <c r="K1013" s="1">
        <f>[1]Residential!G$20</f>
        <v>0</v>
      </c>
    </row>
    <row r="1014" spans="2:11" x14ac:dyDescent="0.3">
      <c r="B1014" s="5" t="str">
        <f t="shared" si="658"/>
        <v>SPS3</v>
      </c>
      <c r="C1014" s="5" t="str">
        <f t="shared" si="643"/>
        <v>CH</v>
      </c>
      <c r="D1014" t="s">
        <v>1020</v>
      </c>
      <c r="E1014" t="s">
        <v>8</v>
      </c>
      <c r="F1014" s="1">
        <f>F1013</f>
        <v>0.10000495692858771</v>
      </c>
      <c r="G1014" s="1">
        <f t="shared" ref="G1014:G1015" si="660">G1013</f>
        <v>9.9996907875814334E-2</v>
      </c>
      <c r="H1014" s="1">
        <f t="shared" ref="H1014:H1015" si="661">H1013</f>
        <v>2.5907366066176715E-2</v>
      </c>
      <c r="I1014" s="1">
        <f t="shared" ref="I1014:I1015" si="662">I1013</f>
        <v>0</v>
      </c>
      <c r="J1014" s="1">
        <f t="shared" ref="J1014:J1015" si="663">J1013</f>
        <v>0</v>
      </c>
      <c r="K1014" s="1">
        <f t="shared" ref="K1014:K1015" si="664">K1013</f>
        <v>0</v>
      </c>
    </row>
    <row r="1015" spans="2:11" x14ac:dyDescent="0.3">
      <c r="B1015" s="5" t="str">
        <f t="shared" si="658"/>
        <v>SPS3</v>
      </c>
      <c r="C1015" s="5" t="str">
        <f t="shared" si="643"/>
        <v>CH</v>
      </c>
      <c r="D1015" t="s">
        <v>764</v>
      </c>
      <c r="E1015" t="s">
        <v>8</v>
      </c>
      <c r="F1015" s="1">
        <f t="shared" ref="F1015" si="665">F1014</f>
        <v>0.10000495692858771</v>
      </c>
      <c r="G1015" s="1">
        <f t="shared" si="660"/>
        <v>9.9996907875814334E-2</v>
      </c>
      <c r="H1015" s="1">
        <f t="shared" si="661"/>
        <v>2.5907366066176715E-2</v>
      </c>
      <c r="I1015" s="1">
        <f t="shared" si="662"/>
        <v>0</v>
      </c>
      <c r="J1015" s="1">
        <f t="shared" si="663"/>
        <v>0</v>
      </c>
      <c r="K1015" s="1">
        <f t="shared" si="664"/>
        <v>0</v>
      </c>
    </row>
    <row r="1016" spans="2:11" x14ac:dyDescent="0.3">
      <c r="B1016" s="5" t="str">
        <f t="shared" si="658"/>
        <v>SPS3</v>
      </c>
      <c r="C1016" s="5" t="str">
        <f t="shared" si="643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3">
      <c r="B1017" s="5" t="str">
        <f t="shared" si="658"/>
        <v>SPS3</v>
      </c>
      <c r="C1017" s="5" t="str">
        <f t="shared" si="643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3">
      <c r="B1018" s="5" t="str">
        <f t="shared" si="658"/>
        <v>SPS3</v>
      </c>
      <c r="C1018" s="5" t="str">
        <f t="shared" si="643"/>
        <v>CH</v>
      </c>
      <c r="D1018" t="s">
        <v>1022</v>
      </c>
      <c r="E1018" t="s">
        <v>8</v>
      </c>
      <c r="F1018" s="1">
        <f>F1019+F1021</f>
        <v>13.72305505348508</v>
      </c>
      <c r="G1018" s="1">
        <f t="shared" ref="G1018:K1018" si="666">G1019+G1021</f>
        <v>14.928224663102245</v>
      </c>
      <c r="H1018" s="1">
        <f t="shared" si="666"/>
        <v>16.224339729037681</v>
      </c>
      <c r="I1018" s="1">
        <f t="shared" si="666"/>
        <v>12.965854694073531</v>
      </c>
      <c r="J1018" s="1">
        <f t="shared" si="666"/>
        <v>7.3726855443213406</v>
      </c>
      <c r="K1018" s="1">
        <f t="shared" si="666"/>
        <v>3.191917365793727</v>
      </c>
    </row>
    <row r="1019" spans="2:11" x14ac:dyDescent="0.3">
      <c r="B1019" s="5" t="str">
        <f t="shared" si="658"/>
        <v>SPS3</v>
      </c>
      <c r="C1019" s="5" t="str">
        <f t="shared" si="643"/>
        <v>CH</v>
      </c>
      <c r="D1019" t="s">
        <v>1023</v>
      </c>
      <c r="E1019" t="s">
        <v>8</v>
      </c>
      <c r="F1019" s="1">
        <f>F1020</f>
        <v>12.682082640443944</v>
      </c>
      <c r="G1019" s="1">
        <f t="shared" ref="G1019:K1019" si="667">G1020</f>
        <v>13.733736043996633</v>
      </c>
      <c r="H1019" s="1">
        <f t="shared" si="667"/>
        <v>13.841845338457809</v>
      </c>
      <c r="I1019" s="1">
        <f t="shared" si="667"/>
        <v>10.924114236399856</v>
      </c>
      <c r="J1019" s="1">
        <f t="shared" si="667"/>
        <v>6.0352988113280839</v>
      </c>
      <c r="K1019" s="1">
        <f t="shared" si="667"/>
        <v>2.5251417662067519</v>
      </c>
    </row>
    <row r="1020" spans="2:11" x14ac:dyDescent="0.3">
      <c r="B1020" s="5" t="str">
        <f t="shared" si="658"/>
        <v>SPS3</v>
      </c>
      <c r="C1020" s="5" t="str">
        <f t="shared" si="643"/>
        <v>CH</v>
      </c>
      <c r="D1020" t="s">
        <v>766</v>
      </c>
      <c r="E1020" t="s">
        <v>8</v>
      </c>
      <c r="F1020" s="1">
        <f>[1]Residential!B$22-F1022-F1023</f>
        <v>12.682082640443944</v>
      </c>
      <c r="G1020" s="1">
        <f>[1]Residential!C$22-G1022-G1023</f>
        <v>13.733736043996633</v>
      </c>
      <c r="H1020" s="1">
        <f>[1]Residential!D$22-H1022-H1023</f>
        <v>13.841845338457809</v>
      </c>
      <c r="I1020" s="1">
        <f>[1]Residential!E$22-I1022-I1023</f>
        <v>10.924114236399856</v>
      </c>
      <c r="J1020" s="1">
        <f>[1]Residential!F$22-J1022-J1023</f>
        <v>6.0352988113280839</v>
      </c>
      <c r="K1020" s="1">
        <f>[1]Residential!G$22-K1022-K1023</f>
        <v>2.5251417662067519</v>
      </c>
    </row>
    <row r="1021" spans="2:11" x14ac:dyDescent="0.3">
      <c r="B1021" s="5" t="str">
        <f t="shared" si="658"/>
        <v>SPS3</v>
      </c>
      <c r="C1021" s="5" t="str">
        <f t="shared" si="643"/>
        <v>CH</v>
      </c>
      <c r="D1021" t="s">
        <v>1024</v>
      </c>
      <c r="E1021" t="s">
        <v>8</v>
      </c>
      <c r="F1021" s="1">
        <f>F1022</f>
        <v>1.040972413041136</v>
      </c>
      <c r="G1021" s="1">
        <f t="shared" ref="G1021" si="668">G1022</f>
        <v>1.1944886191056134</v>
      </c>
      <c r="H1021" s="1">
        <f t="shared" ref="H1021" si="669">H1022</f>
        <v>2.3824943905798719</v>
      </c>
      <c r="I1021" s="1">
        <f t="shared" ref="I1021" si="670">I1022</f>
        <v>2.0417404576736762</v>
      </c>
      <c r="J1021" s="1">
        <f t="shared" ref="J1021" si="671">J1022</f>
        <v>1.3373867329932563</v>
      </c>
      <c r="K1021" s="1">
        <f t="shared" ref="K1021" si="672">K1022</f>
        <v>0.6667755995869753</v>
      </c>
    </row>
    <row r="1022" spans="2:11" x14ac:dyDescent="0.3">
      <c r="B1022" s="5" t="str">
        <f t="shared" si="658"/>
        <v>SPS3</v>
      </c>
      <c r="C1022" s="5" t="str">
        <f t="shared" si="643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1.040972413041136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1.1944886191056134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2.3824943905798719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2.0417404576736762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1.3373867329932563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0.6667755995869753</v>
      </c>
    </row>
    <row r="1023" spans="2:11" x14ac:dyDescent="0.3">
      <c r="B1023" s="5" t="str">
        <f t="shared" si="658"/>
        <v>SPS3</v>
      </c>
      <c r="C1023" s="5" t="str">
        <f t="shared" si="643"/>
        <v>CH</v>
      </c>
      <c r="D1023" t="s">
        <v>1025</v>
      </c>
      <c r="E1023" t="s">
        <v>8</v>
      </c>
      <c r="F1023" s="1">
        <f>F1024+F1026</f>
        <v>3.2682489434074813</v>
      </c>
      <c r="G1023" s="1">
        <f t="shared" ref="G1023:K1023" si="673">G1024+G1026</f>
        <v>3.8320005829639543</v>
      </c>
      <c r="H1023" s="1">
        <f t="shared" si="673"/>
        <v>0.34215829620775212</v>
      </c>
      <c r="I1023" s="1">
        <f t="shared" si="673"/>
        <v>0.29947656834523245</v>
      </c>
      <c r="J1023" s="1">
        <f t="shared" si="673"/>
        <v>0.17771723812227447</v>
      </c>
      <c r="K1023" s="1">
        <f t="shared" si="673"/>
        <v>6.5409943033974224E-2</v>
      </c>
    </row>
    <row r="1024" spans="2:11" x14ac:dyDescent="0.3">
      <c r="B1024" s="5" t="str">
        <f t="shared" si="658"/>
        <v>SPS3</v>
      </c>
      <c r="C1024" s="5" t="str">
        <f t="shared" si="643"/>
        <v>CH</v>
      </c>
      <c r="D1024" t="s">
        <v>1026</v>
      </c>
      <c r="E1024" t="s">
        <v>8</v>
      </c>
      <c r="F1024" s="1">
        <f>F1025</f>
        <v>2.9965695837759525</v>
      </c>
      <c r="G1024" s="1">
        <f t="shared" ref="G1024:K1024" si="674">G1025</f>
        <v>3.5202564563221843</v>
      </c>
      <c r="H1024" s="1">
        <f t="shared" si="674"/>
        <v>0.25748570483497096</v>
      </c>
      <c r="I1024" s="1">
        <f t="shared" si="674"/>
        <v>0.2223934469507784</v>
      </c>
      <c r="J1024" s="1">
        <f t="shared" si="674"/>
        <v>0.12827317903701962</v>
      </c>
      <c r="K1024" s="1">
        <f t="shared" si="674"/>
        <v>4.7537879907880255E-2</v>
      </c>
    </row>
    <row r="1025" spans="2:11" x14ac:dyDescent="0.3">
      <c r="B1025" s="5" t="str">
        <f t="shared" si="658"/>
        <v>SPS3</v>
      </c>
      <c r="C1025" s="5" t="str">
        <f t="shared" si="643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2.9965695837759525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3.5202564563221843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0.25748570483497096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0.2223934469507784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0.12827317903701962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4.7537879907880255E-2</v>
      </c>
    </row>
    <row r="1026" spans="2:11" x14ac:dyDescent="0.3">
      <c r="B1026" s="5" t="str">
        <f t="shared" si="658"/>
        <v>SPS3</v>
      </c>
      <c r="C1026" s="5" t="str">
        <f t="shared" si="643"/>
        <v>CH</v>
      </c>
      <c r="D1026" t="s">
        <v>1027</v>
      </c>
      <c r="E1026" t="s">
        <v>8</v>
      </c>
      <c r="F1026" s="1">
        <f>F1027</f>
        <v>0.27167935963152867</v>
      </c>
      <c r="G1026" s="1">
        <f t="shared" ref="G1026:K1026" si="675">G1027</f>
        <v>0.31174412664177004</v>
      </c>
      <c r="H1026" s="1">
        <f t="shared" si="675"/>
        <v>8.4672591372781145E-2</v>
      </c>
      <c r="I1026" s="1">
        <f t="shared" si="675"/>
        <v>7.7083121394454057E-2</v>
      </c>
      <c r="J1026" s="1">
        <f t="shared" si="675"/>
        <v>4.944405908525483E-2</v>
      </c>
      <c r="K1026" s="1">
        <f t="shared" si="675"/>
        <v>1.7872063126093969E-2</v>
      </c>
    </row>
    <row r="1027" spans="2:11" x14ac:dyDescent="0.3">
      <c r="B1027" s="5" t="str">
        <f t="shared" si="658"/>
        <v>SPS3</v>
      </c>
      <c r="C1027" s="5" t="str">
        <f t="shared" si="643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0.27167935963152867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0.31174412664177004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8.4672591372781145E-2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7.7083121394454057E-2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4.944405908525483E-2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1.7872063126093969E-2</v>
      </c>
    </row>
    <row r="1028" spans="2:11" x14ac:dyDescent="0.3">
      <c r="B1028" s="5" t="str">
        <f t="shared" si="658"/>
        <v>SPS3</v>
      </c>
      <c r="C1028" s="5" t="str">
        <f t="shared" si="643"/>
        <v>CH</v>
      </c>
      <c r="D1028" t="s">
        <v>1028</v>
      </c>
      <c r="E1028" t="s">
        <v>8</v>
      </c>
      <c r="F1028" s="1">
        <f>[1]Residential!B$23</f>
        <v>2.506840906536425</v>
      </c>
      <c r="G1028" s="1">
        <f>[1]Residential!C$23</f>
        <v>2.9281421848169429</v>
      </c>
      <c r="H1028" s="1">
        <f>[1]Residential!D$23</f>
        <v>1.0019096124830102</v>
      </c>
      <c r="I1028" s="1">
        <f>[1]Residential!E$23</f>
        <v>1.7178505092654637</v>
      </c>
      <c r="J1028" s="1">
        <f>[1]Residential!F$23</f>
        <v>2.8026138882180702</v>
      </c>
      <c r="K1028" s="1">
        <f>[1]Residential!G$23</f>
        <v>3.2567565274933132</v>
      </c>
    </row>
    <row r="1029" spans="2:11" x14ac:dyDescent="0.3">
      <c r="B1029" s="5" t="str">
        <f t="shared" si="658"/>
        <v>SPS3</v>
      </c>
      <c r="C1029" s="5" t="str">
        <f t="shared" si="643"/>
        <v>CH</v>
      </c>
      <c r="D1029" t="s">
        <v>1029</v>
      </c>
      <c r="E1029" t="s">
        <v>8</v>
      </c>
      <c r="F1029" s="1">
        <f>F1030</f>
        <v>0.78535288187657393</v>
      </c>
      <c r="G1029" s="1">
        <f t="shared" ref="G1029:K1029" si="676">G1030</f>
        <v>0.94135872023576694</v>
      </c>
      <c r="H1029" s="1">
        <f t="shared" si="676"/>
        <v>3.2123633358511719E-2</v>
      </c>
      <c r="I1029" s="1">
        <f t="shared" si="676"/>
        <v>5.2369925472642929E-2</v>
      </c>
      <c r="J1029" s="1">
        <f t="shared" si="676"/>
        <v>7.1414311816762208E-2</v>
      </c>
      <c r="K1029" s="1">
        <f t="shared" si="676"/>
        <v>7.281443091330364E-2</v>
      </c>
    </row>
    <row r="1030" spans="2:11" x14ac:dyDescent="0.3">
      <c r="B1030" s="5" t="str">
        <f t="shared" si="658"/>
        <v>SPS3</v>
      </c>
      <c r="C1030" s="5" t="str">
        <f t="shared" si="643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0.78535288187657393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0.94135872023576694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3.2123633358511719E-2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5.2369925472642929E-2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7.1414311816762208E-2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7.281443091330364E-2</v>
      </c>
    </row>
    <row r="1031" spans="2:11" x14ac:dyDescent="0.3">
      <c r="B1031" s="5" t="str">
        <f t="shared" si="658"/>
        <v>SPS3</v>
      </c>
      <c r="C1031" s="5" t="str">
        <f t="shared" si="643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677">G1028-G1029</f>
        <v>1.9867834645811759</v>
      </c>
      <c r="H1031" s="1">
        <f t="shared" si="677"/>
        <v>0.96978597912449849</v>
      </c>
      <c r="I1031" s="1">
        <f t="shared" si="677"/>
        <v>1.6654805837928208</v>
      </c>
      <c r="J1031" s="1">
        <f t="shared" si="677"/>
        <v>2.7311995764013082</v>
      </c>
      <c r="K1031" s="1">
        <f t="shared" si="677"/>
        <v>3.1839420965800098</v>
      </c>
    </row>
    <row r="1032" spans="2:11" x14ac:dyDescent="0.3">
      <c r="B1032" s="5" t="str">
        <f t="shared" si="658"/>
        <v>SPS3</v>
      </c>
      <c r="C1032" s="5" t="str">
        <f t="shared" si="643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678">G1031</f>
        <v>1.9867834645811759</v>
      </c>
      <c r="H1032" s="1">
        <f t="shared" si="678"/>
        <v>0.96978597912449849</v>
      </c>
      <c r="I1032" s="1">
        <f t="shared" si="678"/>
        <v>1.6654805837928208</v>
      </c>
      <c r="J1032" s="1">
        <f t="shared" si="678"/>
        <v>2.7311995764013082</v>
      </c>
      <c r="K1032" s="1">
        <f t="shared" si="678"/>
        <v>3.1839420965800098</v>
      </c>
    </row>
    <row r="1033" spans="2:11" x14ac:dyDescent="0.3">
      <c r="B1033" s="5" t="str">
        <f t="shared" si="658"/>
        <v>SPS3</v>
      </c>
      <c r="C1033" s="5" t="str">
        <f t="shared" si="643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0</v>
      </c>
      <c r="I1033" s="1">
        <f>[1]Residential!E$24</f>
        <v>1.1760527553817603E-3</v>
      </c>
      <c r="J1033" s="1">
        <f>[1]Residential!F$24</f>
        <v>2.7105728840674816E-3</v>
      </c>
      <c r="K1033" s="1">
        <f>[1]Residential!G$24</f>
        <v>2.9271845804528018E-2</v>
      </c>
    </row>
    <row r="1034" spans="2:11" x14ac:dyDescent="0.3">
      <c r="B1034" s="5" t="str">
        <f t="shared" si="658"/>
        <v>SPS3</v>
      </c>
      <c r="C1034" s="5" t="str">
        <f t="shared" si="643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679">G1033-G1036-G1038</f>
        <v>0</v>
      </c>
      <c r="H1034" s="1">
        <f t="shared" si="679"/>
        <v>0</v>
      </c>
      <c r="I1034" s="1">
        <f t="shared" si="679"/>
        <v>1.1760527553817603E-3</v>
      </c>
      <c r="J1034" s="1">
        <f t="shared" si="679"/>
        <v>2.7105728840674816E-3</v>
      </c>
      <c r="K1034" s="1">
        <f t="shared" si="679"/>
        <v>2.9271845804528018E-2</v>
      </c>
    </row>
    <row r="1035" spans="2:11" x14ac:dyDescent="0.3">
      <c r="B1035" s="5" t="str">
        <f t="shared" si="658"/>
        <v>SPS3</v>
      </c>
      <c r="C1035" s="5" t="str">
        <f t="shared" si="643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680">G1036+G1038</f>
        <v>0</v>
      </c>
      <c r="H1035" s="1">
        <f t="shared" si="680"/>
        <v>0</v>
      </c>
      <c r="I1035" s="1">
        <f t="shared" si="680"/>
        <v>0</v>
      </c>
      <c r="J1035" s="1">
        <f t="shared" si="680"/>
        <v>0</v>
      </c>
      <c r="K1035" s="1">
        <f t="shared" si="680"/>
        <v>0</v>
      </c>
    </row>
    <row r="1036" spans="2:11" x14ac:dyDescent="0.3">
      <c r="B1036" s="5" t="str">
        <f t="shared" si="658"/>
        <v>SPS3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681">G1037</f>
        <v>0</v>
      </c>
      <c r="H1036" s="1">
        <f t="shared" si="681"/>
        <v>0</v>
      </c>
      <c r="I1036" s="1">
        <f t="shared" si="681"/>
        <v>0</v>
      </c>
      <c r="J1036" s="1">
        <f t="shared" si="681"/>
        <v>0</v>
      </c>
      <c r="K1036" s="1">
        <f t="shared" si="681"/>
        <v>0</v>
      </c>
    </row>
    <row r="1037" spans="2:11" x14ac:dyDescent="0.3">
      <c r="B1037" s="5" t="str">
        <f t="shared" si="658"/>
        <v>SPS3</v>
      </c>
      <c r="C1037" s="5" t="str">
        <f t="shared" si="643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3">
      <c r="B1038" s="5" t="str">
        <f t="shared" si="658"/>
        <v>SPS3</v>
      </c>
      <c r="C1038" s="5" t="str">
        <f t="shared" si="643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682">G1039</f>
        <v>0</v>
      </c>
      <c r="H1038" s="1">
        <f t="shared" si="682"/>
        <v>0</v>
      </c>
      <c r="I1038" s="1">
        <f t="shared" si="682"/>
        <v>0</v>
      </c>
      <c r="J1038" s="1">
        <f t="shared" si="682"/>
        <v>0</v>
      </c>
      <c r="K1038" s="1">
        <f t="shared" si="682"/>
        <v>0</v>
      </c>
    </row>
    <row r="1039" spans="2:11" x14ac:dyDescent="0.3">
      <c r="B1039" s="5" t="str">
        <f t="shared" si="658"/>
        <v>SPS3</v>
      </c>
      <c r="C1039" s="5" t="str">
        <f t="shared" si="643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3">
      <c r="B1040" s="5" t="str">
        <f t="shared" si="658"/>
        <v>SPS3</v>
      </c>
      <c r="C1040" s="5" t="str">
        <f t="shared" si="643"/>
        <v>CH</v>
      </c>
      <c r="D1040" t="s">
        <v>1035</v>
      </c>
      <c r="E1040" t="s">
        <v>8</v>
      </c>
      <c r="F1040" s="1">
        <f>[1]Residential!B$21</f>
        <v>8.2437447134882955</v>
      </c>
      <c r="G1040" s="1">
        <f>[1]Residential!C$21</f>
        <v>9.6744643007845177</v>
      </c>
      <c r="H1040" s="1">
        <f>[1]Residential!D$21</f>
        <v>9.9131498530746018</v>
      </c>
      <c r="I1040" s="1">
        <f>[1]Residential!E$21</f>
        <v>9.8846672907201274</v>
      </c>
      <c r="J1040" s="1">
        <f>[1]Residential!F$21</f>
        <v>11.346491807232223</v>
      </c>
      <c r="K1040" s="1">
        <f>[1]Residential!G$21</f>
        <v>12.961840453712353</v>
      </c>
    </row>
    <row r="1041" spans="2:13" x14ac:dyDescent="0.3">
      <c r="B1041" s="5" t="str">
        <f t="shared" si="658"/>
        <v>SPS3</v>
      </c>
      <c r="C1041" s="5" t="str">
        <f t="shared" si="643"/>
        <v>CH</v>
      </c>
      <c r="D1041" t="s">
        <v>1036</v>
      </c>
      <c r="E1041" t="s">
        <v>8</v>
      </c>
      <c r="F1041" s="1">
        <f>SUM(F1042:F1044)</f>
        <v>0.39057961696349969</v>
      </c>
      <c r="G1041" s="1">
        <f t="shared" ref="G1041:K1041" si="683">SUM(G1042:G1044)</f>
        <v>1.7054574724330491E-2</v>
      </c>
      <c r="H1041" s="1">
        <f t="shared" si="683"/>
        <v>0.1317344752885605</v>
      </c>
      <c r="I1041" s="1">
        <f t="shared" si="683"/>
        <v>1.9821045152857389E-2</v>
      </c>
      <c r="J1041" s="1">
        <f t="shared" si="683"/>
        <v>2.6192534969591708</v>
      </c>
      <c r="K1041" s="1">
        <f t="shared" si="683"/>
        <v>1.5802005793846903</v>
      </c>
    </row>
    <row r="1042" spans="2:13" x14ac:dyDescent="0.3">
      <c r="B1042" s="5" t="str">
        <f t="shared" si="658"/>
        <v>SPS3</v>
      </c>
      <c r="C1042" s="5" t="str">
        <f t="shared" si="643"/>
        <v>CH</v>
      </c>
      <c r="D1042" t="s">
        <v>749</v>
      </c>
      <c r="E1042" t="s">
        <v>8</v>
      </c>
      <c r="F1042" s="1">
        <f t="shared" ref="F1042:K1043" si="684">SUM(F242,F244)</f>
        <v>0.38843610055069944</v>
      </c>
      <c r="G1042" s="1">
        <f t="shared" si="684"/>
        <v>1.4691772104428411E-2</v>
      </c>
      <c r="H1042" s="1">
        <f t="shared" si="684"/>
        <v>0.13069688878473285</v>
      </c>
      <c r="I1042" s="1">
        <f t="shared" si="684"/>
        <v>1.6369904883599701E-3</v>
      </c>
      <c r="J1042" s="1">
        <f t="shared" si="684"/>
        <v>2.2749777338338886</v>
      </c>
      <c r="K1042" s="1">
        <f t="shared" si="684"/>
        <v>1.4553942768047992</v>
      </c>
    </row>
    <row r="1043" spans="2:13" x14ac:dyDescent="0.3">
      <c r="B1043" s="5" t="str">
        <f t="shared" si="658"/>
        <v>SPS3</v>
      </c>
      <c r="C1043" s="5" t="str">
        <f t="shared" si="643"/>
        <v>CH</v>
      </c>
      <c r="D1043" t="s">
        <v>750</v>
      </c>
      <c r="E1043" t="s">
        <v>8</v>
      </c>
      <c r="F1043" s="1">
        <f t="shared" si="684"/>
        <v>0</v>
      </c>
      <c r="G1043" s="1">
        <f t="shared" si="684"/>
        <v>0</v>
      </c>
      <c r="H1043" s="1">
        <f t="shared" si="684"/>
        <v>0</v>
      </c>
      <c r="I1043" s="1">
        <f t="shared" si="684"/>
        <v>0</v>
      </c>
      <c r="J1043" s="1">
        <f t="shared" si="684"/>
        <v>0</v>
      </c>
      <c r="K1043" s="1">
        <f t="shared" si="684"/>
        <v>0</v>
      </c>
    </row>
    <row r="1044" spans="2:13" x14ac:dyDescent="0.3">
      <c r="B1044" s="5" t="str">
        <f t="shared" si="658"/>
        <v>SPS3</v>
      </c>
      <c r="C1044" s="5" t="str">
        <f t="shared" si="643"/>
        <v>CH</v>
      </c>
      <c r="D1044" t="s">
        <v>751</v>
      </c>
      <c r="E1044" t="s">
        <v>8</v>
      </c>
      <c r="F1044" s="1">
        <f t="shared" ref="F1044:K1044" si="685">SUM(F283,F284)</f>
        <v>2.14351641280024E-3</v>
      </c>
      <c r="G1044" s="1">
        <f t="shared" si="685"/>
        <v>2.36280261990208E-3</v>
      </c>
      <c r="H1044" s="1">
        <f t="shared" si="685"/>
        <v>1.037586503827652E-3</v>
      </c>
      <c r="I1044" s="1">
        <f t="shared" si="685"/>
        <v>1.818405466449742E-2</v>
      </c>
      <c r="J1044" s="1">
        <f t="shared" si="685"/>
        <v>0.34427576312528207</v>
      </c>
      <c r="K1044" s="1">
        <f t="shared" si="685"/>
        <v>0.12480630257989113</v>
      </c>
    </row>
    <row r="1045" spans="2:13" x14ac:dyDescent="0.3">
      <c r="B1045" s="5" t="str">
        <f t="shared" si="658"/>
        <v>SPS3</v>
      </c>
      <c r="C1045" s="5" t="str">
        <f t="shared" si="643"/>
        <v>CH</v>
      </c>
      <c r="D1045" t="s">
        <v>1037</v>
      </c>
      <c r="E1045" t="s">
        <v>8</v>
      </c>
      <c r="F1045" s="1">
        <f>F1040-F1041</f>
        <v>7.8531650965247959</v>
      </c>
      <c r="G1045" s="1">
        <f t="shared" ref="G1045:K1045" si="686">G1040-G1041</f>
        <v>9.6574097260601874</v>
      </c>
      <c r="H1045" s="1">
        <f t="shared" si="686"/>
        <v>9.7814153777860415</v>
      </c>
      <c r="I1045" s="1">
        <f t="shared" si="686"/>
        <v>9.8648462455672696</v>
      </c>
      <c r="J1045" s="1">
        <f t="shared" si="686"/>
        <v>8.7272383102730515</v>
      </c>
      <c r="K1045" s="1">
        <f t="shared" si="686"/>
        <v>11.381639874327663</v>
      </c>
    </row>
    <row r="1046" spans="2:13" x14ac:dyDescent="0.3">
      <c r="B1046" s="5" t="str">
        <f t="shared" si="658"/>
        <v>SPS3</v>
      </c>
      <c r="C1046" s="5" t="str">
        <f t="shared" si="643"/>
        <v>CH</v>
      </c>
      <c r="D1046" t="s">
        <v>1038</v>
      </c>
      <c r="E1046" t="s">
        <v>8</v>
      </c>
      <c r="F1046" s="1">
        <f>[1]Residential!B$25</f>
        <v>15.195102961550775</v>
      </c>
      <c r="G1046" s="1">
        <f>[1]Residential!C$25</f>
        <v>17.642808015152042</v>
      </c>
      <c r="H1046" s="1">
        <f>[1]Residential!D$25</f>
        <v>26.900056142409944</v>
      </c>
      <c r="I1046" s="1">
        <f>[1]Residential!E$25</f>
        <v>46.019278533141289</v>
      </c>
      <c r="J1046" s="1">
        <f>[1]Residential!F$25</f>
        <v>61.431800966636111</v>
      </c>
      <c r="K1046" s="1">
        <f>[1]Residential!G$25</f>
        <v>58.367025129692536</v>
      </c>
    </row>
    <row r="1047" spans="2:13" x14ac:dyDescent="0.3">
      <c r="B1047" s="5" t="str">
        <f t="shared" si="658"/>
        <v>SPS3</v>
      </c>
      <c r="C1047" s="5" t="str">
        <f t="shared" si="643"/>
        <v>CH</v>
      </c>
      <c r="D1047" t="s">
        <v>1039</v>
      </c>
      <c r="E1047" t="s">
        <v>8</v>
      </c>
      <c r="F1047" s="1">
        <f>F1046-F1050</f>
        <v>13.104065516776863</v>
      </c>
      <c r="G1047" s="1">
        <f t="shared" ref="G1047:K1047" si="687">G1046-G1050</f>
        <v>15.293762254119349</v>
      </c>
      <c r="H1047" s="1">
        <f t="shared" si="687"/>
        <v>23.980471117099619</v>
      </c>
      <c r="I1047" s="1">
        <f t="shared" si="687"/>
        <v>39.657071475463731</v>
      </c>
      <c r="J1047" s="1">
        <f t="shared" si="687"/>
        <v>50.532739993921524</v>
      </c>
      <c r="K1047" s="1">
        <f t="shared" si="687"/>
        <v>46.002746303635519</v>
      </c>
      <c r="M1047" s="1"/>
    </row>
    <row r="1048" spans="2:13" x14ac:dyDescent="0.3">
      <c r="B1048" s="5" t="str">
        <f t="shared" si="658"/>
        <v>SPS3</v>
      </c>
      <c r="C1048" s="5" t="str">
        <f t="shared" si="643"/>
        <v>CH</v>
      </c>
      <c r="D1048" t="s">
        <v>752</v>
      </c>
      <c r="E1048" t="s">
        <v>8</v>
      </c>
      <c r="F1048" s="1">
        <f>F1047-F1049</f>
        <v>13.104065516776863</v>
      </c>
      <c r="G1048" s="1">
        <f t="shared" ref="G1048:K1048" si="688">G1047-G1049</f>
        <v>15.293762254119349</v>
      </c>
      <c r="H1048" s="1">
        <f t="shared" si="688"/>
        <v>22.191505385637189</v>
      </c>
      <c r="I1048" s="1">
        <f t="shared" si="688"/>
        <v>35.563576620725087</v>
      </c>
      <c r="J1048" s="1">
        <f t="shared" si="688"/>
        <v>44.439459676973122</v>
      </c>
      <c r="K1048" s="1">
        <f t="shared" si="688"/>
        <v>40.962997627698599</v>
      </c>
    </row>
    <row r="1049" spans="2:13" x14ac:dyDescent="0.3">
      <c r="B1049" s="5" t="str">
        <f t="shared" si="658"/>
        <v>SPS3</v>
      </c>
      <c r="C1049" s="5" t="str">
        <f t="shared" si="643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1.7889657314624299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4.0934948547386458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6.0932803169484018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5.0397486759369166</v>
      </c>
      <c r="M1049" s="20"/>
    </row>
    <row r="1050" spans="2:13" x14ac:dyDescent="0.3">
      <c r="B1050" s="5" t="str">
        <f t="shared" si="658"/>
        <v>SPS3</v>
      </c>
      <c r="C1050" s="5" t="str">
        <f t="shared" si="643"/>
        <v>CH</v>
      </c>
      <c r="D1050" t="s">
        <v>1040</v>
      </c>
      <c r="E1050" t="s">
        <v>8</v>
      </c>
      <c r="F1050" s="1">
        <f>SUM(F1051:F1052)</f>
        <v>2.0910374447739124</v>
      </c>
      <c r="G1050" s="1">
        <f t="shared" ref="G1050:K1050" si="689">SUM(G1051:G1052)</f>
        <v>2.3490457610326936</v>
      </c>
      <c r="H1050" s="1">
        <f t="shared" si="689"/>
        <v>2.9195850253103255</v>
      </c>
      <c r="I1050" s="1">
        <f t="shared" si="689"/>
        <v>6.3622070576775611</v>
      </c>
      <c r="J1050" s="1">
        <f t="shared" si="689"/>
        <v>10.899060972714588</v>
      </c>
      <c r="K1050" s="1">
        <f t="shared" si="689"/>
        <v>12.364278826057021</v>
      </c>
    </row>
    <row r="1051" spans="2:13" x14ac:dyDescent="0.3">
      <c r="B1051" s="5" t="str">
        <f t="shared" si="658"/>
        <v>SPS3</v>
      </c>
      <c r="C1051" s="5" t="str">
        <f t="shared" si="643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2.0910374447739124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2.3490457610326936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2.4750779038934452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4.8382407882364991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7.9081129468662512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9.2117287467289621</v>
      </c>
    </row>
    <row r="1052" spans="2:13" x14ac:dyDescent="0.3">
      <c r="B1052" s="5" t="str">
        <f t="shared" si="658"/>
        <v>SPS3</v>
      </c>
      <c r="C1052" s="5" t="str">
        <f t="shared" si="643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0.44450712141688048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1.5239662694410618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2.9909480258483367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3.1525500793280594</v>
      </c>
    </row>
    <row r="1053" spans="2:13" x14ac:dyDescent="0.3">
      <c r="B1053" s="5" t="str">
        <f t="shared" si="658"/>
        <v>SPS3</v>
      </c>
      <c r="C1053" s="5" t="str">
        <f t="shared" si="643"/>
        <v>CH</v>
      </c>
      <c r="D1053" s="2" t="s">
        <v>756</v>
      </c>
      <c r="E1053" t="s">
        <v>8</v>
      </c>
      <c r="F1053" s="3">
        <f>[1]Residential!B$245</f>
        <v>156.06673930762653</v>
      </c>
      <c r="G1053" s="3">
        <f>[1]Residential!C$245</f>
        <v>162.36619944089387</v>
      </c>
      <c r="H1053" s="3">
        <f>[1]Residential!D$245</f>
        <v>144.99728874604301</v>
      </c>
      <c r="I1053" s="3">
        <f>[1]Residential!E$245</f>
        <v>144.18568903959306</v>
      </c>
      <c r="J1053" s="3">
        <f>[1]Residential!F$245</f>
        <v>140.63272785726824</v>
      </c>
      <c r="K1053" s="3">
        <f>[1]Residential!G$245</f>
        <v>136.26978297866086</v>
      </c>
    </row>
    <row r="1054" spans="2:13" x14ac:dyDescent="0.3">
      <c r="B1054" s="5" t="str">
        <f t="shared" si="658"/>
        <v>SPS3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129.08817520226464</v>
      </c>
      <c r="G1054" s="1">
        <f>[1]Residential!C$116</f>
        <v>136.43257017376081</v>
      </c>
      <c r="H1054" s="1">
        <f>[1]Residential!D$116</f>
        <v>123.74704051579128</v>
      </c>
      <c r="I1054" s="1">
        <f>[1]Residential!E$116</f>
        <v>122.02077166154761</v>
      </c>
      <c r="J1054" s="1">
        <f>[1]Residential!F$116</f>
        <v>114.39162158093282</v>
      </c>
      <c r="K1054" s="1">
        <f>[1]Residential!G$116</f>
        <v>109.40978817466286</v>
      </c>
    </row>
    <row r="1055" spans="2:13" x14ac:dyDescent="0.3">
      <c r="B1055" s="5" t="str">
        <f t="shared" si="658"/>
        <v>SPS3</v>
      </c>
      <c r="C1055" s="5" t="str">
        <f t="shared" ref="C1055:C1105" si="690">C1054</f>
        <v>CH</v>
      </c>
      <c r="D1055" t="s">
        <v>1116</v>
      </c>
      <c r="E1055" t="s">
        <v>8</v>
      </c>
      <c r="F1055" s="1">
        <f>SUM(F1056:F1057)</f>
        <v>27.968548609778601</v>
      </c>
      <c r="G1055" s="1">
        <f t="shared" ref="G1055:K1055" si="691">SUM(G1056:G1057)</f>
        <v>28.642520036288662</v>
      </c>
      <c r="H1055" s="1">
        <f t="shared" si="691"/>
        <v>33.971475392229038</v>
      </c>
      <c r="I1055" s="1">
        <f t="shared" si="691"/>
        <v>50.660375237520078</v>
      </c>
      <c r="J1055" s="1">
        <f t="shared" si="691"/>
        <v>60.583159979625933</v>
      </c>
      <c r="K1055" s="1">
        <f t="shared" si="691"/>
        <v>53.898638776058689</v>
      </c>
    </row>
    <row r="1056" spans="2:13" x14ac:dyDescent="0.3">
      <c r="B1056" s="5" t="str">
        <f t="shared" si="658"/>
        <v>SPS3</v>
      </c>
      <c r="C1056" s="5" t="str">
        <f t="shared" si="690"/>
        <v>CH</v>
      </c>
      <c r="D1056" t="s">
        <v>1117</v>
      </c>
      <c r="E1056" t="s">
        <v>8</v>
      </c>
      <c r="F1056" s="1">
        <f>[1]Residential!B$102</f>
        <v>8.9080896762849786</v>
      </c>
      <c r="G1056" s="1">
        <f>[1]Residential!C$102</f>
        <v>6.5615851841873356</v>
      </c>
      <c r="H1056" s="1">
        <f>[1]Residential!D$102</f>
        <v>0.81156412094701791</v>
      </c>
      <c r="I1056" s="1">
        <f>[1]Residential!E$102</f>
        <v>0.14453508810008864</v>
      </c>
      <c r="J1056" s="1">
        <f>[1]Residential!F$102</f>
        <v>1.1244535178803271E-2</v>
      </c>
      <c r="K1056" s="1">
        <f>[1]Residential!G$102</f>
        <v>6.4409412156573344E-3</v>
      </c>
    </row>
    <row r="1057" spans="2:11" x14ac:dyDescent="0.3">
      <c r="B1057" s="5" t="str">
        <f t="shared" si="658"/>
        <v>SPS3</v>
      </c>
      <c r="C1057" s="5" t="str">
        <f t="shared" si="690"/>
        <v>CH</v>
      </c>
      <c r="D1057" t="s">
        <v>1118</v>
      </c>
      <c r="E1057" t="s">
        <v>8</v>
      </c>
      <c r="F1057" s="1">
        <f>[1]Residential!B$104</f>
        <v>19.060458933493621</v>
      </c>
      <c r="G1057" s="1">
        <f>[1]Residential!C$104</f>
        <v>22.080934852101326</v>
      </c>
      <c r="H1057" s="1">
        <f>[1]Residential!D$104</f>
        <v>33.15991127128202</v>
      </c>
      <c r="I1057" s="1">
        <f>[1]Residential!E$104</f>
        <v>50.515840149419986</v>
      </c>
      <c r="J1057" s="1">
        <f>[1]Residential!F$104</f>
        <v>60.571915444447129</v>
      </c>
      <c r="K1057" s="1">
        <f>[1]Residential!G$104</f>
        <v>53.892197834843032</v>
      </c>
    </row>
    <row r="1058" spans="2:11" x14ac:dyDescent="0.3">
      <c r="B1058" s="5" t="str">
        <f t="shared" si="658"/>
        <v>SPS3</v>
      </c>
      <c r="C1058" s="5" t="str">
        <f t="shared" si="690"/>
        <v>CH</v>
      </c>
      <c r="D1058" t="s">
        <v>1047</v>
      </c>
      <c r="E1058" t="s">
        <v>8</v>
      </c>
      <c r="F1058" s="1">
        <f>F1059</f>
        <v>45.124448493635228</v>
      </c>
      <c r="G1058" s="1">
        <f t="shared" ref="G1058:K1058" si="692">G1059</f>
        <v>39.021346620644437</v>
      </c>
      <c r="H1058" s="1">
        <f t="shared" si="692"/>
        <v>32.870467114076177</v>
      </c>
      <c r="I1058" s="1">
        <f t="shared" si="692"/>
        <v>15.140400144898743</v>
      </c>
      <c r="J1058" s="1">
        <f t="shared" si="692"/>
        <v>1.9112956167060509</v>
      </c>
      <c r="K1058" s="1">
        <f t="shared" si="692"/>
        <v>0.11625267755570057</v>
      </c>
    </row>
    <row r="1059" spans="2:11" x14ac:dyDescent="0.3">
      <c r="B1059" s="5" t="str">
        <f t="shared" si="658"/>
        <v>SPS3</v>
      </c>
      <c r="C1059" s="5" t="str">
        <f t="shared" si="690"/>
        <v>CH</v>
      </c>
      <c r="D1059" t="s">
        <v>1048</v>
      </c>
      <c r="E1059" t="s">
        <v>8</v>
      </c>
      <c r="F1059" s="1">
        <f>[1]Residential!B$105</f>
        <v>45.124448493635228</v>
      </c>
      <c r="G1059" s="1">
        <f>[1]Residential!C$105</f>
        <v>39.021346620644437</v>
      </c>
      <c r="H1059" s="1">
        <f>[1]Residential!D$105</f>
        <v>32.870467114076177</v>
      </c>
      <c r="I1059" s="1">
        <f>[1]Residential!E$105</f>
        <v>15.140400144898743</v>
      </c>
      <c r="J1059" s="1">
        <f>[1]Residential!F$105</f>
        <v>1.9112956167060509</v>
      </c>
      <c r="K1059" s="1">
        <f>[1]Residential!G$105</f>
        <v>0.11625267755570057</v>
      </c>
    </row>
    <row r="1060" spans="2:11" x14ac:dyDescent="0.3">
      <c r="B1060" s="5" t="str">
        <f t="shared" si="658"/>
        <v>SPS3</v>
      </c>
      <c r="C1060" s="5" t="str">
        <f t="shared" si="690"/>
        <v>CH</v>
      </c>
      <c r="D1060" t="s">
        <v>1049</v>
      </c>
      <c r="E1060" t="s">
        <v>8</v>
      </c>
      <c r="F1060" s="1">
        <f>SUM(F1061:F1062)</f>
        <v>36.569986716549892</v>
      </c>
      <c r="G1060" s="1">
        <f t="shared" ref="G1060:K1060" si="693">SUM(G1061:G1062)</f>
        <v>38.866039734223747</v>
      </c>
      <c r="H1060" s="1">
        <f t="shared" si="693"/>
        <v>34.571329708211643</v>
      </c>
      <c r="I1060" s="1">
        <f t="shared" si="693"/>
        <v>29.142211319816457</v>
      </c>
      <c r="J1060" s="1">
        <f t="shared" si="693"/>
        <v>17.556915021947578</v>
      </c>
      <c r="K1060" s="1">
        <f t="shared" si="693"/>
        <v>12.524650620658917</v>
      </c>
    </row>
    <row r="1061" spans="2:11" x14ac:dyDescent="0.3">
      <c r="B1061" s="5" t="str">
        <f t="shared" si="658"/>
        <v>SPS3</v>
      </c>
      <c r="C1061" s="5" t="str">
        <f t="shared" si="690"/>
        <v>CH</v>
      </c>
      <c r="D1061" t="s">
        <v>1050</v>
      </c>
      <c r="E1061" t="s">
        <v>8</v>
      </c>
      <c r="F1061" s="1">
        <f>[1]Residential!B$106</f>
        <v>36.569986716549892</v>
      </c>
      <c r="G1061" s="1">
        <f>[1]Residential!C$106</f>
        <v>38.866039734223747</v>
      </c>
      <c r="H1061" s="1">
        <f>[1]Residential!D$106</f>
        <v>30.703025813275456</v>
      </c>
      <c r="I1061" s="1">
        <f>[1]Residential!E$106</f>
        <v>20.871393977564633</v>
      </c>
      <c r="J1061" s="1">
        <f>[1]Residential!F$106</f>
        <v>5.6761206484449227</v>
      </c>
      <c r="K1061" s="1">
        <f>[1]Residential!G$106</f>
        <v>3.1154769293575333</v>
      </c>
    </row>
    <row r="1062" spans="2:11" x14ac:dyDescent="0.3">
      <c r="B1062" s="5" t="str">
        <f t="shared" si="658"/>
        <v>SPS3</v>
      </c>
      <c r="C1062" s="5" t="str">
        <f t="shared" si="690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3.8683038949361856</v>
      </c>
      <c r="I1062" s="1">
        <f>[1]Residential!E$107</f>
        <v>8.2708173422518243</v>
      </c>
      <c r="J1062" s="1">
        <f>[1]Residential!F$107</f>
        <v>11.880794373502656</v>
      </c>
      <c r="K1062" s="1">
        <f>[1]Residential!G$107</f>
        <v>9.409173691301385</v>
      </c>
    </row>
    <row r="1063" spans="2:11" x14ac:dyDescent="0.3">
      <c r="B1063" s="5" t="str">
        <f t="shared" si="658"/>
        <v>SPS3</v>
      </c>
      <c r="C1063" s="5" t="str">
        <f t="shared" si="690"/>
        <v>CH</v>
      </c>
      <c r="D1063" t="s">
        <v>1052</v>
      </c>
      <c r="E1063" t="s">
        <v>8</v>
      </c>
      <c r="F1063" s="1">
        <f>F1064</f>
        <v>7.2003568988583122E-2</v>
      </c>
      <c r="G1063" s="1">
        <f t="shared" ref="G1063:K1063" si="694">G1064</f>
        <v>7.1997773670586407E-2</v>
      </c>
      <c r="H1063" s="1">
        <f t="shared" si="694"/>
        <v>2.0676142136182289E-2</v>
      </c>
      <c r="I1063" s="1">
        <f t="shared" si="694"/>
        <v>0</v>
      </c>
      <c r="J1063" s="1">
        <f t="shared" si="694"/>
        <v>0</v>
      </c>
      <c r="K1063" s="1">
        <f t="shared" si="694"/>
        <v>0</v>
      </c>
    </row>
    <row r="1064" spans="2:11" x14ac:dyDescent="0.3">
      <c r="B1064" s="5" t="str">
        <f t="shared" si="658"/>
        <v>SPS3</v>
      </c>
      <c r="C1064" s="5" t="str">
        <f t="shared" si="690"/>
        <v>CH</v>
      </c>
      <c r="D1064" t="s">
        <v>1053</v>
      </c>
      <c r="E1064" t="s">
        <v>8</v>
      </c>
      <c r="F1064" s="1">
        <f>[1]Residential!B$108</f>
        <v>7.2003568988583122E-2</v>
      </c>
      <c r="G1064" s="1">
        <f>[1]Residential!C$108</f>
        <v>7.1997773670586407E-2</v>
      </c>
      <c r="H1064" s="1">
        <f>[1]Residential!D$108</f>
        <v>2.0676142136182289E-2</v>
      </c>
      <c r="I1064" s="1">
        <f>[1]Residential!E$108</f>
        <v>0</v>
      </c>
      <c r="J1064" s="1">
        <f>[1]Residential!F$108</f>
        <v>0</v>
      </c>
      <c r="K1064" s="1">
        <f>[1]Residential!G$108</f>
        <v>0</v>
      </c>
    </row>
    <row r="1065" spans="2:11" x14ac:dyDescent="0.3">
      <c r="B1065" s="5" t="str">
        <f t="shared" si="658"/>
        <v>SPS3</v>
      </c>
      <c r="C1065" s="5" t="str">
        <f t="shared" si="690"/>
        <v>CH</v>
      </c>
      <c r="D1065" t="s">
        <v>1054</v>
      </c>
      <c r="E1065" t="s">
        <v>8</v>
      </c>
      <c r="F1065" s="1">
        <f>SUM([1]Residential!B$109:B$110)</f>
        <v>6.4678646326699045</v>
      </c>
      <c r="G1065" s="1">
        <f>SUM([1]Residential!C$109:C$110)</f>
        <v>7.7010935043408368</v>
      </c>
      <c r="H1065" s="1">
        <f>SUM([1]Residential!D$109:D$110)</f>
        <v>6.9121848078079964</v>
      </c>
      <c r="I1065" s="1">
        <f>SUM([1]Residential!E$109:E$110)</f>
        <v>6.8137743408013192</v>
      </c>
      <c r="J1065" s="1">
        <f>SUM([1]Residential!F$109:F$110)</f>
        <v>7.5342020237068246</v>
      </c>
      <c r="K1065" s="1">
        <f>SUM([1]Residential!G$109:G$110)</f>
        <v>8.099639234928004</v>
      </c>
    </row>
    <row r="1066" spans="2:11" x14ac:dyDescent="0.3">
      <c r="B1066" s="5" t="str">
        <f t="shared" si="658"/>
        <v>SPS3</v>
      </c>
      <c r="C1066" s="5" t="str">
        <f t="shared" si="690"/>
        <v>CH</v>
      </c>
      <c r="D1066" t="s">
        <v>1055</v>
      </c>
      <c r="E1066" t="s">
        <v>8</v>
      </c>
      <c r="F1066" s="1">
        <f>[1]Residential!B$109</f>
        <v>8.6436502875236035E-2</v>
      </c>
      <c r="G1066" s="1">
        <f>[1]Residential!C$109</f>
        <v>7.8628196965861725E-3</v>
      </c>
      <c r="H1066" s="1">
        <f>[1]Residential!D$109</f>
        <v>0</v>
      </c>
      <c r="I1066" s="1">
        <f>[1]Residential!E$109</f>
        <v>0</v>
      </c>
      <c r="J1066" s="1">
        <f>[1]Residential!F$109</f>
        <v>0</v>
      </c>
      <c r="K1066" s="1">
        <f>[1]Residential!G$109</f>
        <v>0</v>
      </c>
    </row>
    <row r="1067" spans="2:11" x14ac:dyDescent="0.3">
      <c r="B1067" s="5" t="str">
        <f t="shared" si="658"/>
        <v>SPS3</v>
      </c>
      <c r="C1067" s="5" t="str">
        <f t="shared" si="690"/>
        <v>CH</v>
      </c>
      <c r="D1067" t="s">
        <v>1056</v>
      </c>
      <c r="E1067" t="s">
        <v>8</v>
      </c>
      <c r="F1067" s="1">
        <f>IFERROR(F$1066/F$1041,0)*F1042</f>
        <v>8.5962135922811475E-2</v>
      </c>
      <c r="G1067" s="1">
        <f t="shared" ref="G1067:K1067" si="695">IFERROR(G$1066/G$1041,0)*G1042</f>
        <v>6.773476146294811E-3</v>
      </c>
      <c r="H1067" s="1">
        <f t="shared" si="695"/>
        <v>0</v>
      </c>
      <c r="I1067" s="1">
        <f t="shared" si="695"/>
        <v>0</v>
      </c>
      <c r="J1067" s="1">
        <f t="shared" si="695"/>
        <v>0</v>
      </c>
      <c r="K1067" s="1">
        <f t="shared" si="695"/>
        <v>0</v>
      </c>
    </row>
    <row r="1068" spans="2:11" x14ac:dyDescent="0.3">
      <c r="B1068" s="5" t="str">
        <f t="shared" si="658"/>
        <v>SPS3</v>
      </c>
      <c r="C1068" s="5" t="str">
        <f t="shared" si="690"/>
        <v>CH</v>
      </c>
      <c r="D1068" t="s">
        <v>1057</v>
      </c>
      <c r="E1068" t="s">
        <v>8</v>
      </c>
      <c r="F1068" s="1">
        <f t="shared" ref="F1068:K1068" si="696">IFERROR(F$1066/F$1041,0)*F1043</f>
        <v>0</v>
      </c>
      <c r="G1068" s="1">
        <f t="shared" si="696"/>
        <v>0</v>
      </c>
      <c r="H1068" s="1">
        <f t="shared" si="696"/>
        <v>0</v>
      </c>
      <c r="I1068" s="1">
        <f t="shared" si="696"/>
        <v>0</v>
      </c>
      <c r="J1068" s="1">
        <f t="shared" si="696"/>
        <v>0</v>
      </c>
      <c r="K1068" s="1">
        <f t="shared" si="696"/>
        <v>0</v>
      </c>
    </row>
    <row r="1069" spans="2:11" x14ac:dyDescent="0.3">
      <c r="B1069" s="5" t="str">
        <f t="shared" si="658"/>
        <v>SPS3</v>
      </c>
      <c r="C1069" s="5" t="str">
        <f t="shared" si="690"/>
        <v>CH</v>
      </c>
      <c r="D1069" t="s">
        <v>1058</v>
      </c>
      <c r="E1069" t="s">
        <v>8</v>
      </c>
      <c r="F1069" s="1">
        <f t="shared" ref="F1069:K1069" si="697">IFERROR(F$1066/F$1041,0)*F1044</f>
        <v>4.743669524245504E-4</v>
      </c>
      <c r="G1069" s="1">
        <f t="shared" si="697"/>
        <v>1.0893435502913609E-3</v>
      </c>
      <c r="H1069" s="1">
        <f t="shared" si="697"/>
        <v>0</v>
      </c>
      <c r="I1069" s="1">
        <f t="shared" si="697"/>
        <v>0</v>
      </c>
      <c r="J1069" s="1">
        <f t="shared" si="697"/>
        <v>0</v>
      </c>
      <c r="K1069" s="1">
        <f t="shared" si="697"/>
        <v>0</v>
      </c>
    </row>
    <row r="1070" spans="2:11" x14ac:dyDescent="0.3">
      <c r="B1070" s="5" t="str">
        <f t="shared" si="658"/>
        <v>SPS3</v>
      </c>
      <c r="C1070" s="5" t="str">
        <f t="shared" si="690"/>
        <v>CH</v>
      </c>
      <c r="D1070" t="s">
        <v>1059</v>
      </c>
      <c r="E1070" t="s">
        <v>8</v>
      </c>
      <c r="F1070" s="1">
        <f>F1065-F1066</f>
        <v>6.3814281297946689</v>
      </c>
      <c r="G1070" s="1">
        <f t="shared" ref="G1070:K1070" si="698">G1065-G1066</f>
        <v>7.6932306846442504</v>
      </c>
      <c r="H1070" s="1">
        <f t="shared" si="698"/>
        <v>6.9121848078079964</v>
      </c>
      <c r="I1070" s="1">
        <f t="shared" si="698"/>
        <v>6.8137743408013192</v>
      </c>
      <c r="J1070" s="1">
        <f t="shared" si="698"/>
        <v>7.5342020237068246</v>
      </c>
      <c r="K1070" s="1">
        <f t="shared" si="698"/>
        <v>8.099639234928004</v>
      </c>
    </row>
    <row r="1071" spans="2:11" x14ac:dyDescent="0.3">
      <c r="B1071" s="5" t="str">
        <f t="shared" si="658"/>
        <v>SPS3</v>
      </c>
      <c r="C1071" s="5" t="str">
        <f t="shared" si="690"/>
        <v>CH</v>
      </c>
      <c r="D1071" t="s">
        <v>1060</v>
      </c>
      <c r="E1071" t="s">
        <v>8</v>
      </c>
      <c r="F1071" s="1">
        <f>F1072</f>
        <v>9.1310995011196319</v>
      </c>
      <c r="G1071" s="1">
        <f t="shared" ref="G1071:K1071" si="699">G1072</f>
        <v>9.8882899516775797</v>
      </c>
      <c r="H1071" s="1">
        <f t="shared" si="699"/>
        <v>9.8843464444971634</v>
      </c>
      <c r="I1071" s="1">
        <f t="shared" si="699"/>
        <v>7.8799023453159354</v>
      </c>
      <c r="J1071" s="1">
        <f t="shared" si="699"/>
        <v>4.3838184005690843</v>
      </c>
      <c r="K1071" s="1">
        <f t="shared" si="699"/>
        <v>1.9094873868975974</v>
      </c>
    </row>
    <row r="1072" spans="2:11" x14ac:dyDescent="0.3">
      <c r="B1072" s="5" t="str">
        <f t="shared" si="658"/>
        <v>SPS3</v>
      </c>
      <c r="C1072" s="5" t="str">
        <f t="shared" si="690"/>
        <v>CH</v>
      </c>
      <c r="D1072" t="s">
        <v>1061</v>
      </c>
      <c r="E1072" t="s">
        <v>8</v>
      </c>
      <c r="F1072" s="1">
        <f>[1]Residential!B$111</f>
        <v>9.1310995011196319</v>
      </c>
      <c r="G1072" s="1">
        <f>[1]Residential!C$111</f>
        <v>9.8882899516775797</v>
      </c>
      <c r="H1072" s="1">
        <f>[1]Residential!D$111</f>
        <v>9.8843464444971634</v>
      </c>
      <c r="I1072" s="1">
        <f>[1]Residential!E$111</f>
        <v>7.8799023453159354</v>
      </c>
      <c r="J1072" s="1">
        <f>[1]Residential!F$111</f>
        <v>4.3838184005690843</v>
      </c>
      <c r="K1072" s="1">
        <f>[1]Residential!G$111</f>
        <v>1.9094873868975974</v>
      </c>
    </row>
    <row r="1073" spans="2:11" x14ac:dyDescent="0.3">
      <c r="B1073" s="5" t="str">
        <f t="shared" si="658"/>
        <v>SPS3</v>
      </c>
      <c r="C1073" s="5" t="str">
        <f t="shared" si="690"/>
        <v>CH</v>
      </c>
      <c r="D1073" t="s">
        <v>1062</v>
      </c>
      <c r="E1073" t="s">
        <v>8</v>
      </c>
      <c r="F1073" s="1">
        <f>F1074</f>
        <v>2.6969126253983586</v>
      </c>
      <c r="G1073" s="1">
        <f t="shared" ref="G1073:K1073" si="700">G1074</f>
        <v>3.1682308106899644</v>
      </c>
      <c r="H1073" s="1">
        <f t="shared" si="700"/>
        <v>0.18594376528954387</v>
      </c>
      <c r="I1073" s="1">
        <f t="shared" si="700"/>
        <v>0.16075944687357122</v>
      </c>
      <c r="J1073" s="1">
        <f t="shared" si="700"/>
        <v>9.2785600666068113E-2</v>
      </c>
      <c r="K1073" s="1">
        <f t="shared" si="700"/>
        <v>3.5533800834103332E-2</v>
      </c>
    </row>
    <row r="1074" spans="2:11" x14ac:dyDescent="0.3">
      <c r="B1074" s="5" t="str">
        <f t="shared" si="658"/>
        <v>SPS3</v>
      </c>
      <c r="C1074" s="5" t="str">
        <f t="shared" si="690"/>
        <v>CH</v>
      </c>
      <c r="D1074" t="s">
        <v>1063</v>
      </c>
      <c r="E1074" t="s">
        <v>8</v>
      </c>
      <c r="F1074" s="1">
        <f>[1]Residential!B$112</f>
        <v>2.6969126253983586</v>
      </c>
      <c r="G1074" s="1">
        <f>[1]Residential!C$112</f>
        <v>3.1682308106899644</v>
      </c>
      <c r="H1074" s="1">
        <f>[1]Residential!D$112</f>
        <v>0.18594376528954387</v>
      </c>
      <c r="I1074" s="1">
        <f>[1]Residential!E$112</f>
        <v>0.16075944687357122</v>
      </c>
      <c r="J1074" s="1">
        <f>[1]Residential!F$112</f>
        <v>9.2785600666068113E-2</v>
      </c>
      <c r="K1074" s="1">
        <f>[1]Residential!G$112</f>
        <v>3.5533800834103332E-2</v>
      </c>
    </row>
    <row r="1075" spans="2:11" x14ac:dyDescent="0.3">
      <c r="B1075" s="5" t="str">
        <f t="shared" si="658"/>
        <v>SPS3</v>
      </c>
      <c r="C1075" s="5" t="str">
        <f t="shared" si="690"/>
        <v>CH</v>
      </c>
      <c r="D1075" t="s">
        <v>1064</v>
      </c>
      <c r="E1075" t="s">
        <v>8</v>
      </c>
      <c r="F1075" s="1">
        <f>F1076</f>
        <v>0.78535288187657393</v>
      </c>
      <c r="G1075" s="1">
        <f t="shared" ref="G1075:K1075" si="701">G1076</f>
        <v>0.94135872023576694</v>
      </c>
      <c r="H1075" s="1">
        <f t="shared" si="701"/>
        <v>3.2123633358511719E-2</v>
      </c>
      <c r="I1075" s="1">
        <f t="shared" si="701"/>
        <v>5.2369925472642923E-2</v>
      </c>
      <c r="J1075" s="1">
        <f t="shared" si="701"/>
        <v>7.1414311816762208E-2</v>
      </c>
      <c r="K1075" s="1">
        <f t="shared" si="701"/>
        <v>7.281443091330364E-2</v>
      </c>
    </row>
    <row r="1076" spans="2:11" x14ac:dyDescent="0.3">
      <c r="B1076" s="5" t="str">
        <f t="shared" ref="B1076:B1139" si="702">B1075</f>
        <v>SPS3</v>
      </c>
      <c r="C1076" s="5" t="str">
        <f t="shared" si="690"/>
        <v>CH</v>
      </c>
      <c r="D1076" t="s">
        <v>1065</v>
      </c>
      <c r="E1076" t="s">
        <v>8</v>
      </c>
      <c r="F1076" s="1">
        <f>[1]Residential!B$113</f>
        <v>0.78535288187657393</v>
      </c>
      <c r="G1076" s="1">
        <f>[1]Residential!C$113</f>
        <v>0.94135872023576694</v>
      </c>
      <c r="H1076" s="1">
        <f>[1]Residential!D$113</f>
        <v>3.2123633358511719E-2</v>
      </c>
      <c r="I1076" s="1">
        <f>[1]Residential!E$113</f>
        <v>5.2369925472642923E-2</v>
      </c>
      <c r="J1076" s="1">
        <f>[1]Residential!F$113</f>
        <v>7.1414311816762208E-2</v>
      </c>
      <c r="K1076" s="1">
        <f>[1]Residential!G$113</f>
        <v>7.281443091330364E-2</v>
      </c>
    </row>
    <row r="1077" spans="2:11" x14ac:dyDescent="0.3">
      <c r="B1077" s="5" t="str">
        <f t="shared" si="702"/>
        <v>SPS3</v>
      </c>
      <c r="C1077" s="5" t="str">
        <f t="shared" si="690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03">G1078</f>
        <v>0</v>
      </c>
      <c r="H1077" s="1">
        <f t="shared" si="703"/>
        <v>0</v>
      </c>
      <c r="I1077" s="1">
        <f t="shared" si="703"/>
        <v>0</v>
      </c>
      <c r="J1077" s="1">
        <f t="shared" si="703"/>
        <v>0</v>
      </c>
      <c r="K1077" s="1">
        <f t="shared" si="703"/>
        <v>0</v>
      </c>
    </row>
    <row r="1078" spans="2:11" x14ac:dyDescent="0.3">
      <c r="B1078" s="5" t="str">
        <f t="shared" si="702"/>
        <v>SPS3</v>
      </c>
      <c r="C1078" s="5" t="str">
        <f t="shared" si="690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3">
      <c r="B1079" s="5" t="str">
        <f t="shared" si="702"/>
        <v>SPS3</v>
      </c>
      <c r="C1079" s="5" t="str">
        <f t="shared" si="690"/>
        <v>CH</v>
      </c>
      <c r="D1079" t="s">
        <v>1068</v>
      </c>
      <c r="E1079" t="s">
        <v>8</v>
      </c>
      <c r="F1079" s="1">
        <f>[1]Residential!B$10-[1]Residential!B$223</f>
        <v>0.27195817224784413</v>
      </c>
      <c r="G1079" s="1">
        <f>[1]Residential!C$10-[1]Residential!C$223</f>
        <v>8.1316930219892392</v>
      </c>
      <c r="H1079" s="1">
        <f>[1]Residential!D$10-[1]Residential!D$223</f>
        <v>5.2984935081850129</v>
      </c>
      <c r="I1079" s="1">
        <f>[1]Residential!E$10-[1]Residential!E$223</f>
        <v>12.170978900848851</v>
      </c>
      <c r="J1079" s="1">
        <f>[1]Residential!F$10-[1]Residential!F$223</f>
        <v>22.258030625894524</v>
      </c>
      <c r="K1079" s="1">
        <f>[1]Residential!G$10-[1]Residential!G$223</f>
        <v>32.75277124681655</v>
      </c>
    </row>
    <row r="1080" spans="2:11" x14ac:dyDescent="0.3">
      <c r="B1080" s="5" t="str">
        <f t="shared" si="702"/>
        <v>SPS3</v>
      </c>
      <c r="C1080" s="5" t="str">
        <f t="shared" si="690"/>
        <v>CH</v>
      </c>
      <c r="D1080" t="s">
        <v>1069</v>
      </c>
      <c r="E1080" t="s">
        <v>8</v>
      </c>
      <c r="F1080" s="1">
        <f>[1]Residential!B$224</f>
        <v>26.978564105361908</v>
      </c>
      <c r="G1080" s="1">
        <f>[1]Residential!C$224</f>
        <v>25.933629267133075</v>
      </c>
      <c r="H1080" s="1">
        <f>[1]Residential!D$224</f>
        <v>21.250248230251746</v>
      </c>
      <c r="I1080" s="1">
        <f>[1]Residential!E$224</f>
        <v>22.164917378045423</v>
      </c>
      <c r="J1080" s="1">
        <f>[1]Residential!F$224</f>
        <v>26.241106276335408</v>
      </c>
      <c r="K1080" s="1">
        <f>[1]Residential!G$224</f>
        <v>26.859994803997992</v>
      </c>
    </row>
    <row r="1081" spans="2:11" x14ac:dyDescent="0.3">
      <c r="B1081" s="5" t="str">
        <f t="shared" si="702"/>
        <v>SPS3</v>
      </c>
      <c r="C1081" s="5" t="str">
        <f t="shared" si="690"/>
        <v>CH</v>
      </c>
      <c r="D1081" t="s">
        <v>1119</v>
      </c>
      <c r="E1081" t="s">
        <v>8</v>
      </c>
      <c r="F1081" s="1">
        <f>SUM(F1082:F1083)</f>
        <v>9.8846976368259494</v>
      </c>
      <c r="G1081" s="1">
        <f t="shared" ref="G1081:K1081" si="704">SUM(G1082:G1083)</f>
        <v>10.604208231663822</v>
      </c>
      <c r="H1081" s="1">
        <f t="shared" si="704"/>
        <v>7.9013563504773492</v>
      </c>
      <c r="I1081" s="1">
        <f t="shared" si="704"/>
        <v>10.849169107192456</v>
      </c>
      <c r="J1081" s="1">
        <f t="shared" si="704"/>
        <v>14.839493944780997</v>
      </c>
      <c r="K1081" s="1">
        <f t="shared" si="704"/>
        <v>15.686183998656563</v>
      </c>
    </row>
    <row r="1082" spans="2:11" x14ac:dyDescent="0.3">
      <c r="B1082" s="5" t="str">
        <f t="shared" si="702"/>
        <v>SPS3</v>
      </c>
      <c r="C1082" s="5" t="str">
        <f t="shared" si="690"/>
        <v>CH</v>
      </c>
      <c r="D1082" t="s">
        <v>1120</v>
      </c>
      <c r="E1082" t="s">
        <v>8</v>
      </c>
      <c r="F1082" s="1">
        <f>[1]Residential!B$231-F1056</f>
        <v>6.6447385190993362</v>
      </c>
      <c r="G1082" s="1">
        <f>[1]Residential!C$231-G1056</f>
        <v>6.968719008948379</v>
      </c>
      <c r="H1082" s="1">
        <f>[1]Residential!D$231-H1056</f>
        <v>2.7566605865638811</v>
      </c>
      <c r="I1082" s="1">
        <f>[1]Residential!E$231-I1056</f>
        <v>1.916787822016883</v>
      </c>
      <c r="J1082" s="1">
        <f>[1]Residential!F$231-J1056</f>
        <v>1.5872445585811898</v>
      </c>
      <c r="K1082" s="1">
        <f>[1]Residential!G$231-K1056</f>
        <v>1.3670030939968185</v>
      </c>
    </row>
    <row r="1083" spans="2:11" x14ac:dyDescent="0.3">
      <c r="B1083" s="5" t="str">
        <f t="shared" si="702"/>
        <v>SPS3</v>
      </c>
      <c r="C1083" s="5" t="str">
        <f t="shared" si="690"/>
        <v>CH</v>
      </c>
      <c r="D1083" t="s">
        <v>1121</v>
      </c>
      <c r="E1083" t="s">
        <v>8</v>
      </c>
      <c r="F1083" s="1">
        <f>[1]Residential!B$233-F1057</f>
        <v>3.2399591177266132</v>
      </c>
      <c r="G1083" s="1">
        <f>[1]Residential!C$233-G1057</f>
        <v>3.6354892227154423</v>
      </c>
      <c r="H1083" s="1">
        <f>[1]Residential!D$233-H1057</f>
        <v>5.1446957639134681</v>
      </c>
      <c r="I1083" s="1">
        <f>[1]Residential!E$233-I1057</f>
        <v>8.9323812851755733</v>
      </c>
      <c r="J1083" s="1">
        <f>[1]Residential!F$233-J1057</f>
        <v>13.252249386199807</v>
      </c>
      <c r="K1083" s="1">
        <f>[1]Residential!G$233-K1057</f>
        <v>14.319180904659746</v>
      </c>
    </row>
    <row r="1084" spans="2:11" x14ac:dyDescent="0.3">
      <c r="B1084" s="5" t="str">
        <f t="shared" si="702"/>
        <v>SPS3</v>
      </c>
      <c r="C1084" s="5" t="str">
        <f t="shared" si="690"/>
        <v>CH</v>
      </c>
      <c r="D1084" t="s">
        <v>1070</v>
      </c>
      <c r="E1084" t="s">
        <v>8</v>
      </c>
      <c r="F1084" s="1">
        <f>F1085</f>
        <v>6.9844887527550483</v>
      </c>
      <c r="G1084" s="1">
        <f t="shared" ref="G1084:K1084" si="705">G1085</f>
        <v>5.5461333767280365</v>
      </c>
      <c r="H1084" s="1">
        <f t="shared" si="705"/>
        <v>4.3145981918473666</v>
      </c>
      <c r="I1084" s="1">
        <f t="shared" si="705"/>
        <v>1.8172278868569745</v>
      </c>
      <c r="J1084" s="1">
        <f t="shared" si="705"/>
        <v>0.38301455600446066</v>
      </c>
      <c r="K1084" s="1">
        <f t="shared" si="705"/>
        <v>1.5432785211889483E-2</v>
      </c>
    </row>
    <row r="1085" spans="2:11" x14ac:dyDescent="0.3">
      <c r="B1085" s="5" t="str">
        <f t="shared" si="702"/>
        <v>SPS3</v>
      </c>
      <c r="C1085" s="5" t="str">
        <f t="shared" si="690"/>
        <v>CH</v>
      </c>
      <c r="D1085" t="s">
        <v>1071</v>
      </c>
      <c r="E1085" t="s">
        <v>8</v>
      </c>
      <c r="F1085" s="1">
        <f>[1]Residential!B$234-F1059</f>
        <v>6.9844887527550483</v>
      </c>
      <c r="G1085" s="1">
        <f>[1]Residential!C$234-G1059</f>
        <v>5.5461333767280365</v>
      </c>
      <c r="H1085" s="1">
        <f>[1]Residential!D$234-H1059</f>
        <v>4.3145981918473666</v>
      </c>
      <c r="I1085" s="1">
        <f>[1]Residential!E$234-I1059</f>
        <v>1.8172278868569745</v>
      </c>
      <c r="J1085" s="1">
        <f>[1]Residential!F$234-J1059</f>
        <v>0.38301455600446066</v>
      </c>
      <c r="K1085" s="1">
        <f>[1]Residential!G$234-K1059</f>
        <v>1.5432785211889483E-2</v>
      </c>
    </row>
    <row r="1086" spans="2:11" x14ac:dyDescent="0.3">
      <c r="B1086" s="5" t="str">
        <f t="shared" si="702"/>
        <v>SPS3</v>
      </c>
      <c r="C1086" s="5" t="str">
        <f t="shared" si="690"/>
        <v>CH</v>
      </c>
      <c r="D1086" t="s">
        <v>1072</v>
      </c>
      <c r="E1086" t="s">
        <v>8</v>
      </c>
      <c r="F1086" s="1">
        <f>SUM(F1087:F1088)</f>
        <v>6.3804818364102758</v>
      </c>
      <c r="G1086" s="1">
        <f t="shared" ref="G1086:K1086" si="706">SUM(G1087:G1088)</f>
        <v>5.5410305221708143</v>
      </c>
      <c r="H1086" s="1">
        <f t="shared" si="706"/>
        <v>5.8231155258015015</v>
      </c>
      <c r="I1086" s="1">
        <f t="shared" si="706"/>
        <v>5.6491418463330909</v>
      </c>
      <c r="J1086" s="1">
        <f t="shared" si="706"/>
        <v>5.9711229009244375</v>
      </c>
      <c r="K1086" s="1">
        <f t="shared" si="706"/>
        <v>5.3151438752220361</v>
      </c>
    </row>
    <row r="1087" spans="2:11" x14ac:dyDescent="0.3">
      <c r="B1087" s="5" t="str">
        <f t="shared" si="702"/>
        <v>SPS3</v>
      </c>
      <c r="C1087" s="5" t="str">
        <f t="shared" si="690"/>
        <v>CH</v>
      </c>
      <c r="D1087" t="s">
        <v>1073</v>
      </c>
      <c r="E1087" t="s">
        <v>8</v>
      </c>
      <c r="F1087" s="1">
        <f>[1]Residential!B$235-F1061</f>
        <v>6.3804818364102758</v>
      </c>
      <c r="G1087" s="1">
        <f>[1]Residential!C$235-G1061</f>
        <v>5.5410305221708143</v>
      </c>
      <c r="H1087" s="1">
        <f>[1]Residential!D$235-H1061</f>
        <v>4.9546538389857382</v>
      </c>
      <c r="I1087" s="1">
        <f>[1]Residential!E$235-I1061</f>
        <v>3.0555677276515496</v>
      </c>
      <c r="J1087" s="1">
        <f>[1]Residential!F$235-J1061</f>
        <v>1.2608157103272424</v>
      </c>
      <c r="K1087" s="1">
        <f>[1]Residential!G$235-K1061</f>
        <v>0.78939298862197127</v>
      </c>
    </row>
    <row r="1088" spans="2:11" x14ac:dyDescent="0.3">
      <c r="B1088" s="5" t="str">
        <f t="shared" si="702"/>
        <v>SPS3</v>
      </c>
      <c r="C1088" s="5" t="str">
        <f t="shared" si="690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0.8684616868157633</v>
      </c>
      <c r="I1088" s="1">
        <f>[1]Residential!E$236-I1062</f>
        <v>2.5935741186815413</v>
      </c>
      <c r="J1088" s="1">
        <f>[1]Residential!F$236-J1062</f>
        <v>4.7103071905971952</v>
      </c>
      <c r="K1088" s="1">
        <f>[1]Residential!G$236-K1062</f>
        <v>4.5257508866000649</v>
      </c>
    </row>
    <row r="1089" spans="2:11" x14ac:dyDescent="0.3">
      <c r="B1089" s="5" t="str">
        <f t="shared" si="702"/>
        <v>SPS3</v>
      </c>
      <c r="C1089" s="5" t="str">
        <f t="shared" si="690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3">
      <c r="B1090" s="5" t="str">
        <f t="shared" si="702"/>
        <v>SPS3</v>
      </c>
      <c r="C1090" s="5" t="str">
        <f t="shared" si="690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3">
      <c r="B1091" s="5" t="str">
        <f t="shared" si="702"/>
        <v>SPS3</v>
      </c>
      <c r="C1091" s="5" t="str">
        <f t="shared" si="690"/>
        <v>CH</v>
      </c>
      <c r="D1091" t="s">
        <v>1077</v>
      </c>
      <c r="E1091" t="s">
        <v>8</v>
      </c>
      <c r="F1091" s="1">
        <f>SUM(F1092,F1096)</f>
        <v>1.3171220484205077</v>
      </c>
      <c r="G1091" s="1">
        <f t="shared" ref="G1091:K1091" si="707">SUM(G1092,G1096)</f>
        <v>1.4633892832853166</v>
      </c>
      <c r="H1091" s="1">
        <f t="shared" si="707"/>
        <v>1.1723133857495665</v>
      </c>
      <c r="I1091" s="1">
        <f t="shared" si="707"/>
        <v>1.2397188470369285</v>
      </c>
      <c r="J1091" s="1">
        <f t="shared" si="707"/>
        <v>1.6685338713008564</v>
      </c>
      <c r="K1091" s="1">
        <f t="shared" si="707"/>
        <v>2.317696631420322</v>
      </c>
    </row>
    <row r="1092" spans="2:11" x14ac:dyDescent="0.3">
      <c r="B1092" s="5" t="str">
        <f t="shared" si="702"/>
        <v>SPS3</v>
      </c>
      <c r="C1092" s="5" t="str">
        <f t="shared" si="690"/>
        <v>CH</v>
      </c>
      <c r="D1092" t="s">
        <v>1078</v>
      </c>
      <c r="E1092" t="s">
        <v>8</v>
      </c>
      <c r="F1092" s="1">
        <f>[1]Residential!B$238-F1066</f>
        <v>1.7602010894025202E-2</v>
      </c>
      <c r="G1092" s="1">
        <f>[1]Residential!C$238-G1066</f>
        <v>1.4941210717547004E-3</v>
      </c>
      <c r="H1092" s="1">
        <f>[1]Residential!D$238-H1066</f>
        <v>0</v>
      </c>
      <c r="I1092" s="1">
        <f>[1]Residential!E$238-I1066</f>
        <v>0</v>
      </c>
      <c r="J1092" s="1">
        <f>[1]Residential!F$238-J1066</f>
        <v>0</v>
      </c>
      <c r="K1092" s="1">
        <f>[1]Residential!G$238-K1066</f>
        <v>0</v>
      </c>
    </row>
    <row r="1093" spans="2:11" x14ac:dyDescent="0.3">
      <c r="B1093" s="5" t="str">
        <f t="shared" si="702"/>
        <v>SPS3</v>
      </c>
      <c r="C1093" s="5" t="str">
        <f t="shared" si="690"/>
        <v>CH</v>
      </c>
      <c r="D1093" t="s">
        <v>1079</v>
      </c>
      <c r="E1093" t="s">
        <v>8</v>
      </c>
      <c r="F1093" s="1">
        <f>IFERROR(F$1092/F$1041,0)*F1042</f>
        <v>1.7505410360840804E-2</v>
      </c>
      <c r="G1093" s="1">
        <f t="shared" ref="G1093:K1095" si="708">IFERROR(G$1092/G$1041,0)*G1042</f>
        <v>1.2871201209918254E-3</v>
      </c>
      <c r="H1093" s="1">
        <f t="shared" si="708"/>
        <v>0</v>
      </c>
      <c r="I1093" s="1">
        <f t="shared" si="708"/>
        <v>0</v>
      </c>
      <c r="J1093" s="1">
        <f t="shared" si="708"/>
        <v>0</v>
      </c>
      <c r="K1093" s="1">
        <f t="shared" si="708"/>
        <v>0</v>
      </c>
    </row>
    <row r="1094" spans="2:11" x14ac:dyDescent="0.3">
      <c r="B1094" s="5" t="str">
        <f t="shared" si="702"/>
        <v>SPS3</v>
      </c>
      <c r="C1094" s="5" t="str">
        <f t="shared" si="690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08"/>
        <v>0</v>
      </c>
      <c r="H1094" s="1">
        <f t="shared" si="708"/>
        <v>0</v>
      </c>
      <c r="I1094" s="1">
        <f t="shared" si="708"/>
        <v>0</v>
      </c>
      <c r="J1094" s="1">
        <f t="shared" si="708"/>
        <v>0</v>
      </c>
      <c r="K1094" s="1">
        <f t="shared" si="708"/>
        <v>0</v>
      </c>
    </row>
    <row r="1095" spans="2:11" x14ac:dyDescent="0.3">
      <c r="B1095" s="5" t="str">
        <f t="shared" si="702"/>
        <v>SPS3</v>
      </c>
      <c r="C1095" s="5" t="str">
        <f t="shared" si="690"/>
        <v>CH</v>
      </c>
      <c r="D1095" t="s">
        <v>1081</v>
      </c>
      <c r="E1095" t="s">
        <v>8</v>
      </c>
      <c r="F1095" s="1">
        <f>IFERROR(F$1092/F$1041,0)*F1044</f>
        <v>9.6600533184397068E-5</v>
      </c>
      <c r="G1095" s="1">
        <f t="shared" si="708"/>
        <v>2.0700095076287508E-4</v>
      </c>
      <c r="H1095" s="1">
        <f t="shared" si="708"/>
        <v>0</v>
      </c>
      <c r="I1095" s="1">
        <f t="shared" si="708"/>
        <v>0</v>
      </c>
      <c r="J1095" s="1">
        <f t="shared" si="708"/>
        <v>0</v>
      </c>
      <c r="K1095" s="1">
        <f t="shared" si="708"/>
        <v>0</v>
      </c>
    </row>
    <row r="1096" spans="2:11" x14ac:dyDescent="0.3">
      <c r="B1096" s="5" t="str">
        <f t="shared" si="702"/>
        <v>SPS3</v>
      </c>
      <c r="C1096" s="5" t="str">
        <f t="shared" si="690"/>
        <v>CH</v>
      </c>
      <c r="D1096" t="s">
        <v>1082</v>
      </c>
      <c r="E1096" t="s">
        <v>8</v>
      </c>
      <c r="F1096" s="1">
        <f>[1]Residential!B$239-F1070</f>
        <v>1.2995200375264826</v>
      </c>
      <c r="G1096" s="1">
        <f>[1]Residential!C$239-G1070</f>
        <v>1.4618951622135619</v>
      </c>
      <c r="H1096" s="1">
        <f>[1]Residential!D$239-H1070</f>
        <v>1.1723133857495665</v>
      </c>
      <c r="I1096" s="1">
        <f>[1]Residential!E$239-I1070</f>
        <v>1.2397188470369285</v>
      </c>
      <c r="J1096" s="1">
        <f>[1]Residential!F$239-J1070</f>
        <v>1.6685338713008564</v>
      </c>
      <c r="K1096" s="1">
        <f>[1]Residential!G$239-K1070</f>
        <v>2.317696631420322</v>
      </c>
    </row>
    <row r="1097" spans="2:11" x14ac:dyDescent="0.3">
      <c r="B1097" s="5" t="str">
        <f t="shared" si="702"/>
        <v>SPS3</v>
      </c>
      <c r="C1097" s="5" t="str">
        <f t="shared" si="690"/>
        <v>CH</v>
      </c>
      <c r="D1097" t="s">
        <v>1083</v>
      </c>
      <c r="E1097" t="s">
        <v>8</v>
      </c>
      <c r="F1097" s="1">
        <f>F1098</f>
        <v>0.52048620652056776</v>
      </c>
      <c r="G1097" s="1">
        <f t="shared" ref="G1097:K1097" si="709">G1098</f>
        <v>0.59724430955280638</v>
      </c>
      <c r="H1097" s="1">
        <f t="shared" si="709"/>
        <v>1.0317165918054361</v>
      </c>
      <c r="I1097" s="1">
        <f t="shared" si="709"/>
        <v>0.90987061965791582</v>
      </c>
      <c r="J1097" s="1">
        <f t="shared" si="709"/>
        <v>0.62495917184647176</v>
      </c>
      <c r="K1097" s="1">
        <f t="shared" si="709"/>
        <v>0.33271491634637407</v>
      </c>
    </row>
    <row r="1098" spans="2:11" x14ac:dyDescent="0.3">
      <c r="B1098" s="5" t="str">
        <f t="shared" si="702"/>
        <v>SPS3</v>
      </c>
      <c r="C1098" s="5" t="str">
        <f t="shared" si="690"/>
        <v>CH</v>
      </c>
      <c r="D1098" t="s">
        <v>1084</v>
      </c>
      <c r="E1098" t="s">
        <v>8</v>
      </c>
      <c r="F1098" s="1">
        <f>[1]Residential!B$240-F1072</f>
        <v>0.52048620652056776</v>
      </c>
      <c r="G1098" s="1">
        <f>[1]Residential!C$240-G1072</f>
        <v>0.59724430955280638</v>
      </c>
      <c r="H1098" s="1">
        <f>[1]Residential!D$240-H1072</f>
        <v>1.0317165918054361</v>
      </c>
      <c r="I1098" s="1">
        <f>[1]Residential!E$240-I1072</f>
        <v>0.90987061965791582</v>
      </c>
      <c r="J1098" s="1">
        <f>[1]Residential!F$240-J1072</f>
        <v>0.62495917184647176</v>
      </c>
      <c r="K1098" s="1">
        <f>[1]Residential!G$240-K1072</f>
        <v>0.33271491634637407</v>
      </c>
    </row>
    <row r="1099" spans="2:11" x14ac:dyDescent="0.3">
      <c r="B1099" s="5" t="str">
        <f t="shared" si="702"/>
        <v>SPS3</v>
      </c>
      <c r="C1099" s="5" t="str">
        <f t="shared" si="690"/>
        <v>CH</v>
      </c>
      <c r="D1099" t="s">
        <v>1085</v>
      </c>
      <c r="E1099" t="s">
        <v>8</v>
      </c>
      <c r="F1099" s="1">
        <f>F1100</f>
        <v>0.16979959976970571</v>
      </c>
      <c r="G1099" s="1">
        <f t="shared" ref="G1099" si="710">G1100</f>
        <v>0.19484007915110624</v>
      </c>
      <c r="H1099" s="1">
        <f t="shared" ref="H1099" si="711">H1100</f>
        <v>3.7362205446021868E-2</v>
      </c>
      <c r="I1099" s="1">
        <f t="shared" ref="I1099" si="712">I1100</f>
        <v>3.4308487175237184E-2</v>
      </c>
      <c r="J1099" s="1">
        <f t="shared" ref="J1099" si="713">J1100</f>
        <v>2.2782255076875368E-2</v>
      </c>
      <c r="K1099" s="1">
        <f t="shared" ref="K1099" si="714">K1100</f>
        <v>8.880500560796277E-3</v>
      </c>
    </row>
    <row r="1100" spans="2:11" x14ac:dyDescent="0.3">
      <c r="B1100" s="5" t="str">
        <f t="shared" si="702"/>
        <v>SPS3</v>
      </c>
      <c r="C1100" s="5" t="str">
        <f t="shared" si="690"/>
        <v>CH</v>
      </c>
      <c r="D1100" t="s">
        <v>1086</v>
      </c>
      <c r="E1100" t="s">
        <v>8</v>
      </c>
      <c r="F1100" s="1">
        <f>[1]Residential!B$241-F1074</f>
        <v>0.16979959976970571</v>
      </c>
      <c r="G1100" s="1">
        <f>[1]Residential!C$241-G1074</f>
        <v>0.19484007915110624</v>
      </c>
      <c r="H1100" s="1">
        <f>[1]Residential!D$241-H1074</f>
        <v>3.7362205446021868E-2</v>
      </c>
      <c r="I1100" s="1">
        <f>[1]Residential!E$241-I1074</f>
        <v>3.4308487175237184E-2</v>
      </c>
      <c r="J1100" s="1">
        <f>[1]Residential!F$241-J1074</f>
        <v>2.2782255076875368E-2</v>
      </c>
      <c r="K1100" s="1">
        <f>[1]Residential!G$241-K1074</f>
        <v>8.880500560796277E-3</v>
      </c>
    </row>
    <row r="1101" spans="2:11" x14ac:dyDescent="0.3">
      <c r="B1101" s="5" t="str">
        <f t="shared" si="702"/>
        <v>SPS3</v>
      </c>
      <c r="C1101" s="5" t="str">
        <f t="shared" si="690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15">G1102</f>
        <v>1.9867834645811759</v>
      </c>
      <c r="H1101" s="1">
        <f t="shared" ref="H1101" si="716">H1102</f>
        <v>0.96978597912449849</v>
      </c>
      <c r="I1101" s="1">
        <f t="shared" ref="I1101" si="717">I1102</f>
        <v>1.6654805837928208</v>
      </c>
      <c r="J1101" s="1">
        <f t="shared" ref="J1101" si="718">J1102</f>
        <v>2.7311995764013082</v>
      </c>
      <c r="K1101" s="1">
        <f t="shared" ref="K1101" si="719">K1102</f>
        <v>3.1839420965800098</v>
      </c>
    </row>
    <row r="1102" spans="2:11" x14ac:dyDescent="0.3">
      <c r="B1102" s="5" t="str">
        <f t="shared" si="702"/>
        <v>SPS3</v>
      </c>
      <c r="C1102" s="5" t="str">
        <f t="shared" si="690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1.9867834645811759</v>
      </c>
      <c r="H1102" s="1">
        <f>[1]Residential!D$242-H1076</f>
        <v>0.96978597912449849</v>
      </c>
      <c r="I1102" s="1">
        <f>[1]Residential!E$242-I1076</f>
        <v>1.6654805837928208</v>
      </c>
      <c r="J1102" s="1">
        <f>[1]Residential!F$242-J1076</f>
        <v>2.7311995764013082</v>
      </c>
      <c r="K1102" s="1">
        <f>[1]Residential!G$242-K1076</f>
        <v>3.1839420965800098</v>
      </c>
    </row>
    <row r="1103" spans="2:11" x14ac:dyDescent="0.3">
      <c r="B1103" s="5" t="str">
        <f t="shared" si="702"/>
        <v>SPS3</v>
      </c>
      <c r="C1103" s="5" t="str">
        <f t="shared" si="690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20">G1104</f>
        <v>0</v>
      </c>
      <c r="H1103" s="1">
        <f t="shared" ref="H1103" si="721">H1104</f>
        <v>0</v>
      </c>
      <c r="I1103" s="1">
        <f t="shared" ref="I1103" si="722">I1104</f>
        <v>0</v>
      </c>
      <c r="J1103" s="1">
        <f t="shared" ref="J1103" si="723">J1104</f>
        <v>0</v>
      </c>
      <c r="K1103" s="1">
        <f t="shared" ref="K1103" si="724">K1104</f>
        <v>0</v>
      </c>
    </row>
    <row r="1104" spans="2:11" x14ac:dyDescent="0.3">
      <c r="B1104" s="5" t="str">
        <f t="shared" si="702"/>
        <v>SPS3</v>
      </c>
      <c r="C1104" s="5" t="str">
        <f t="shared" si="690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3">
      <c r="B1105" s="5" t="str">
        <f t="shared" si="702"/>
        <v>SPS3</v>
      </c>
      <c r="C1105" s="5" t="str">
        <f t="shared" si="690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3">
      <c r="B1106" s="5" t="str">
        <f t="shared" si="702"/>
        <v>SPS3</v>
      </c>
      <c r="C1106" s="5" t="str">
        <f t="shared" ref="C1106:C1133" si="725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3">
      <c r="B1107" s="5" t="str">
        <f t="shared" si="702"/>
        <v>SPS3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0.95000000000000062</v>
      </c>
      <c r="G1107" s="4">
        <f t="shared" ref="G1107:K1108" si="726">IFERROR(G1056/G973,"-")</f>
        <v>0.95000000000000084</v>
      </c>
      <c r="H1107" s="4">
        <f t="shared" si="726"/>
        <v>0.91579524972090198</v>
      </c>
      <c r="I1107" s="4">
        <f t="shared" si="726"/>
        <v>0.91735282431033394</v>
      </c>
      <c r="J1107" s="4">
        <f t="shared" si="726"/>
        <v>0.94218454368659743</v>
      </c>
      <c r="K1107" s="4">
        <f t="shared" si="726"/>
        <v>0.94883428803842818</v>
      </c>
    </row>
    <row r="1108" spans="2:11" x14ac:dyDescent="0.3">
      <c r="B1108" s="5" t="str">
        <f t="shared" si="702"/>
        <v>SPS3</v>
      </c>
      <c r="C1108" s="5" t="str">
        <f t="shared" si="725"/>
        <v>CH</v>
      </c>
      <c r="D1108" t="s">
        <v>1123</v>
      </c>
      <c r="E1108" t="s">
        <v>240</v>
      </c>
      <c r="F1108" s="4">
        <f>IFERROR(F1057/F974,"-")</f>
        <v>3.2000000000000006</v>
      </c>
      <c r="G1108" s="4">
        <f t="shared" si="726"/>
        <v>3.2533333333333276</v>
      </c>
      <c r="H1108" s="4">
        <f t="shared" si="726"/>
        <v>3.0232206591370652</v>
      </c>
      <c r="I1108" s="4">
        <f t="shared" si="726"/>
        <v>3.3784744398381554</v>
      </c>
      <c r="J1108" s="4">
        <f t="shared" si="726"/>
        <v>3.7546618021151619</v>
      </c>
      <c r="K1108" s="4">
        <f t="shared" si="726"/>
        <v>4.1682545688373818</v>
      </c>
    </row>
    <row r="1109" spans="2:11" x14ac:dyDescent="0.3">
      <c r="B1109" s="5" t="str">
        <f t="shared" si="702"/>
        <v>SPS3</v>
      </c>
      <c r="C1109" s="5" t="str">
        <f t="shared" si="725"/>
        <v>CH</v>
      </c>
      <c r="D1109" t="s">
        <v>1093</v>
      </c>
      <c r="E1109" t="s">
        <v>240</v>
      </c>
      <c r="F1109" s="4">
        <f>IFERROR(F1059/F983,"-")</f>
        <v>0.89583333333333437</v>
      </c>
      <c r="G1109" s="4">
        <f t="shared" ref="G1109:K1109" si="727">IFERROR(G1059/G983,"-")</f>
        <v>0.89583333333333415</v>
      </c>
      <c r="H1109" s="4">
        <f t="shared" si="727"/>
        <v>0.84811950905648581</v>
      </c>
      <c r="I1109" s="4">
        <f t="shared" si="727"/>
        <v>0.86659420216006922</v>
      </c>
      <c r="J1109" s="4">
        <f t="shared" si="727"/>
        <v>0.86822389243671139</v>
      </c>
      <c r="K1109" s="4">
        <f t="shared" si="727"/>
        <v>0.86597397199817139</v>
      </c>
    </row>
    <row r="1110" spans="2:11" x14ac:dyDescent="0.3">
      <c r="B1110" s="5" t="str">
        <f t="shared" si="702"/>
        <v>SPS3</v>
      </c>
      <c r="C1110" s="5" t="str">
        <f t="shared" si="725"/>
        <v>CH</v>
      </c>
      <c r="D1110" t="s">
        <v>1094</v>
      </c>
      <c r="E1110" t="s">
        <v>240</v>
      </c>
      <c r="F1110" s="4">
        <f>IFERROR(F1061/F996,"-")</f>
        <v>0.95000000000000029</v>
      </c>
      <c r="G1110" s="4">
        <f t="shared" ref="G1110:K1110" si="728">IFERROR(G1061/G996,"-")</f>
        <v>0.94999999999999951</v>
      </c>
      <c r="H1110" s="4">
        <f t="shared" si="728"/>
        <v>0.92863654381903538</v>
      </c>
      <c r="I1110" s="4">
        <f t="shared" si="728"/>
        <v>0.93013116585461242</v>
      </c>
      <c r="J1110" s="4">
        <f t="shared" si="728"/>
        <v>0.93051625357205303</v>
      </c>
      <c r="K1110" s="4">
        <f t="shared" si="728"/>
        <v>0.93690594861563914</v>
      </c>
    </row>
    <row r="1111" spans="2:11" x14ac:dyDescent="0.3">
      <c r="B1111" s="5" t="str">
        <f t="shared" si="702"/>
        <v>SPS3</v>
      </c>
      <c r="C1111" s="5" t="str">
        <f t="shared" si="725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29">IFERROR(G1062/G997,"-")</f>
        <v>-</v>
      </c>
      <c r="H1111" s="4">
        <f t="shared" si="729"/>
        <v>1.8603534349957642</v>
      </c>
      <c r="I1111" s="4">
        <f t="shared" si="729"/>
        <v>1.9799326882171273</v>
      </c>
      <c r="J1111" s="4">
        <f t="shared" si="729"/>
        <v>2.0528320549041039</v>
      </c>
      <c r="K1111" s="4">
        <f t="shared" si="729"/>
        <v>2.153412327300583</v>
      </c>
    </row>
    <row r="1112" spans="2:11" x14ac:dyDescent="0.3">
      <c r="B1112" s="5" t="str">
        <f t="shared" si="702"/>
        <v>SPS3</v>
      </c>
      <c r="C1112" s="5" t="str">
        <f t="shared" si="725"/>
        <v>CH</v>
      </c>
      <c r="D1112" t="s">
        <v>1096</v>
      </c>
      <c r="E1112" t="s">
        <v>240</v>
      </c>
      <c r="F1112" s="4">
        <f>IFERROR(F1064/F1015,"-")</f>
        <v>0.71999999999999964</v>
      </c>
      <c r="G1112" s="4">
        <f t="shared" ref="G1112:K1112" si="730">IFERROR(G1064/G1015,"-")</f>
        <v>0.72000000000000086</v>
      </c>
      <c r="H1112" s="4">
        <f t="shared" si="730"/>
        <v>0.7980796690550479</v>
      </c>
      <c r="I1112" s="4" t="str">
        <f t="shared" si="730"/>
        <v>-</v>
      </c>
      <c r="J1112" s="4" t="str">
        <f t="shared" si="730"/>
        <v>-</v>
      </c>
      <c r="K1112" s="4" t="str">
        <f t="shared" si="730"/>
        <v>-</v>
      </c>
    </row>
    <row r="1113" spans="2:11" x14ac:dyDescent="0.3">
      <c r="B1113" s="5" t="str">
        <f t="shared" si="702"/>
        <v>SPS3</v>
      </c>
      <c r="C1113" s="5" t="str">
        <f t="shared" si="725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3">
      <c r="B1114" s="5" t="str">
        <f t="shared" si="702"/>
        <v>SPS3</v>
      </c>
      <c r="C1114" s="5" t="str">
        <f t="shared" si="725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3">
      <c r="B1115" s="5" t="str">
        <f t="shared" si="702"/>
        <v>SPS3</v>
      </c>
      <c r="C1115" s="5" t="str">
        <f t="shared" si="725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3">
      <c r="B1116" s="5" t="str">
        <f t="shared" si="702"/>
        <v>SPS3</v>
      </c>
      <c r="C1116" s="5" t="str">
        <f t="shared" si="725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3">
      <c r="B1117" s="5" t="str">
        <f t="shared" si="702"/>
        <v>SPS3</v>
      </c>
      <c r="C1117" s="5" t="str">
        <f t="shared" si="725"/>
        <v>CH</v>
      </c>
      <c r="D1117" t="s">
        <v>1101</v>
      </c>
      <c r="E1117" t="s">
        <v>240</v>
      </c>
      <c r="F1117" s="4">
        <f>IFERROR(F1072/F1020,"-")</f>
        <v>0.71999999999999931</v>
      </c>
      <c r="G1117" s="4">
        <f t="shared" ref="G1117:K1117" si="731">IFERROR(G1072/G1020,"-")</f>
        <v>0.72000000000000031</v>
      </c>
      <c r="H1117" s="4">
        <f t="shared" si="731"/>
        <v>0.71409166934084745</v>
      </c>
      <c r="I1117" s="4">
        <f t="shared" si="731"/>
        <v>0.72133100906795633</v>
      </c>
      <c r="J1117" s="4">
        <f t="shared" si="731"/>
        <v>0.72636310771237744</v>
      </c>
      <c r="K1117" s="4">
        <f t="shared" si="731"/>
        <v>0.75619017215259732</v>
      </c>
    </row>
    <row r="1118" spans="2:11" x14ac:dyDescent="0.3">
      <c r="B1118" s="5" t="str">
        <f t="shared" si="702"/>
        <v>SPS3</v>
      </c>
      <c r="C1118" s="5" t="str">
        <f t="shared" si="725"/>
        <v>CH</v>
      </c>
      <c r="D1118" t="s">
        <v>1102</v>
      </c>
      <c r="E1118" t="s">
        <v>240</v>
      </c>
      <c r="F1118" s="4">
        <f>IFERROR(F1074/F1025,"-")</f>
        <v>0.90000000000000047</v>
      </c>
      <c r="G1118" s="4">
        <f t="shared" ref="G1118:K1118" si="732">IFERROR(G1074/G1025,"-")</f>
        <v>0.89999999999999958</v>
      </c>
      <c r="H1118" s="4">
        <f t="shared" si="732"/>
        <v>0.72215180026681436</v>
      </c>
      <c r="I1118" s="4">
        <f t="shared" si="732"/>
        <v>0.722860538733192</v>
      </c>
      <c r="J1118" s="4">
        <f t="shared" si="732"/>
        <v>0.72334373687963405</v>
      </c>
      <c r="K1118" s="4">
        <f t="shared" si="732"/>
        <v>0.74748392025393984</v>
      </c>
    </row>
    <row r="1119" spans="2:11" x14ac:dyDescent="0.3">
      <c r="B1119" s="5" t="str">
        <f t="shared" si="702"/>
        <v>SPS3</v>
      </c>
      <c r="C1119" s="5" t="str">
        <f t="shared" si="725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3">
      <c r="B1120" s="5" t="str">
        <f t="shared" si="702"/>
        <v>SPS3</v>
      </c>
      <c r="C1120" s="5" t="str">
        <f t="shared" si="725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33">IFERROR(G1078/G1037,"-")</f>
        <v>-</v>
      </c>
      <c r="H1120" s="4" t="str">
        <f t="shared" si="733"/>
        <v>-</v>
      </c>
      <c r="I1120" s="4" t="str">
        <f t="shared" si="733"/>
        <v>-</v>
      </c>
      <c r="J1120" s="4" t="str">
        <f t="shared" si="733"/>
        <v>-</v>
      </c>
      <c r="K1120" s="4" t="str">
        <f t="shared" si="733"/>
        <v>-</v>
      </c>
    </row>
    <row r="1121" spans="2:11" x14ac:dyDescent="0.3">
      <c r="B1121" s="5" t="str">
        <f t="shared" si="702"/>
        <v>SPS3</v>
      </c>
      <c r="C1121" s="5" t="str">
        <f t="shared" si="725"/>
        <v>CH</v>
      </c>
      <c r="D1121" t="s">
        <v>1124</v>
      </c>
      <c r="E1121" t="s">
        <v>240</v>
      </c>
      <c r="F1121" s="4">
        <f>IFERROR(F1082/F976,"-")</f>
        <v>0.79000000000000048</v>
      </c>
      <c r="G1121" s="4">
        <f t="shared" ref="G1121:K1122" si="734">IFERROR(G1082/G976,"-")</f>
        <v>0.79200000000000015</v>
      </c>
      <c r="H1121" s="4">
        <f t="shared" si="734"/>
        <v>0.46567408017613771</v>
      </c>
      <c r="I1121" s="4">
        <f t="shared" si="734"/>
        <v>0.48658771726991779</v>
      </c>
      <c r="J1121" s="4">
        <f t="shared" si="734"/>
        <v>0.50553910958636483</v>
      </c>
      <c r="K1121" s="4">
        <f t="shared" si="734"/>
        <v>0.52104612358960567</v>
      </c>
    </row>
    <row r="1122" spans="2:11" x14ac:dyDescent="0.3">
      <c r="B1122" s="5" t="str">
        <f t="shared" si="702"/>
        <v>SPS3</v>
      </c>
      <c r="C1122" s="5" t="str">
        <f t="shared" si="725"/>
        <v>CH</v>
      </c>
      <c r="D1122" t="s">
        <v>1125</v>
      </c>
      <c r="E1122" t="s">
        <v>240</v>
      </c>
      <c r="F1122" s="4">
        <f>IFERROR(F1083/F977,"-")</f>
        <v>2.8199999999999941</v>
      </c>
      <c r="G1122" s="4">
        <f t="shared" si="734"/>
        <v>2.8259999999999987</v>
      </c>
      <c r="H1122" s="4">
        <f t="shared" si="734"/>
        <v>1.9271281635323185</v>
      </c>
      <c r="I1122" s="4">
        <f t="shared" si="734"/>
        <v>2.1817476200080934</v>
      </c>
      <c r="J1122" s="4">
        <f t="shared" si="734"/>
        <v>2.4797737738620373</v>
      </c>
      <c r="K1122" s="4">
        <f t="shared" si="734"/>
        <v>2.80358590974271</v>
      </c>
    </row>
    <row r="1123" spans="2:11" x14ac:dyDescent="0.3">
      <c r="B1123" s="5" t="str">
        <f t="shared" si="702"/>
        <v>SPS3</v>
      </c>
      <c r="C1123" s="5" t="str">
        <f t="shared" si="725"/>
        <v>CH</v>
      </c>
      <c r="D1123" t="s">
        <v>1105</v>
      </c>
      <c r="E1123" t="s">
        <v>240</v>
      </c>
      <c r="F1123" s="4">
        <f>IFERROR(F1085/F989,"-")</f>
        <v>0.70833333333333282</v>
      </c>
      <c r="G1123" s="4">
        <f t="shared" ref="G1123:K1123" si="735">IFERROR(G1085/G989,"-")</f>
        <v>0.71458333333333368</v>
      </c>
      <c r="H1123" s="4">
        <f t="shared" si="735"/>
        <v>0.50191141477436174</v>
      </c>
      <c r="I1123" s="4">
        <f t="shared" si="735"/>
        <v>0.539292725916795</v>
      </c>
      <c r="J1123" s="4">
        <f t="shared" si="735"/>
        <v>0.55842099728812522</v>
      </c>
      <c r="K1123" s="4">
        <f t="shared" si="735"/>
        <v>0.59259706660418399</v>
      </c>
    </row>
    <row r="1124" spans="2:11" x14ac:dyDescent="0.3">
      <c r="B1124" s="5" t="str">
        <f t="shared" si="702"/>
        <v>SPS3</v>
      </c>
      <c r="C1124" s="5" t="str">
        <f t="shared" si="725"/>
        <v>CH</v>
      </c>
      <c r="D1124" t="s">
        <v>1106</v>
      </c>
      <c r="E1124" t="s">
        <v>240</v>
      </c>
      <c r="F1124" s="4">
        <f>IFERROR(F1087/F1005,"-")</f>
        <v>0.75000000000000067</v>
      </c>
      <c r="G1124" s="4">
        <f t="shared" ref="G1124:K1124" si="736">IFERROR(G1087/G1005,"-")</f>
        <v>0.75400000000000078</v>
      </c>
      <c r="H1124" s="4">
        <f t="shared" si="736"/>
        <v>0.52729679391988771</v>
      </c>
      <c r="I1124" s="4">
        <f t="shared" si="736"/>
        <v>0.55354528000546099</v>
      </c>
      <c r="J1124" s="4">
        <f t="shared" si="736"/>
        <v>0.56261955335838898</v>
      </c>
      <c r="K1124" s="4">
        <f t="shared" si="736"/>
        <v>0.58967962783670747</v>
      </c>
    </row>
    <row r="1125" spans="2:11" x14ac:dyDescent="0.3">
      <c r="B1125" s="5" t="str">
        <f t="shared" si="702"/>
        <v>SPS3</v>
      </c>
      <c r="C1125" s="5" t="str">
        <f t="shared" si="725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37">IFERROR(G1088/G1006,"-")</f>
        <v>-</v>
      </c>
      <c r="H1125" s="4">
        <f t="shared" si="737"/>
        <v>2.0484782042591316</v>
      </c>
      <c r="I1125" s="4">
        <f t="shared" si="737"/>
        <v>2.4247897213200305</v>
      </c>
      <c r="J1125" s="4">
        <f t="shared" si="737"/>
        <v>2.7395713979779308</v>
      </c>
      <c r="K1125" s="4">
        <f t="shared" si="737"/>
        <v>3.2957677148405571</v>
      </c>
    </row>
    <row r="1126" spans="2:11" x14ac:dyDescent="0.3">
      <c r="B1126" s="5" t="str">
        <f t="shared" si="702"/>
        <v>SPS3</v>
      </c>
      <c r="C1126" s="5" t="str">
        <f t="shared" si="725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3">
      <c r="B1127" s="5" t="str">
        <f t="shared" si="702"/>
        <v>SPS3</v>
      </c>
      <c r="C1127" s="5" t="str">
        <f t="shared" si="725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3">
      <c r="B1128" s="5" t="str">
        <f t="shared" si="702"/>
        <v>SPS3</v>
      </c>
      <c r="C1128" s="5" t="str">
        <f t="shared" si="725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3">
      <c r="B1129" s="5" t="str">
        <f t="shared" si="702"/>
        <v>SPS3</v>
      </c>
      <c r="C1129" s="5" t="str">
        <f t="shared" si="725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3">
      <c r="B1130" s="5" t="str">
        <f t="shared" si="702"/>
        <v>SPS3</v>
      </c>
      <c r="C1130" s="5" t="str">
        <f t="shared" si="725"/>
        <v>CH</v>
      </c>
      <c r="D1130" t="s">
        <v>1112</v>
      </c>
      <c r="E1130" t="s">
        <v>240</v>
      </c>
      <c r="F1130" s="4">
        <f>IFERROR(F1098/F1022,"-")</f>
        <v>0.49999999999999978</v>
      </c>
      <c r="G1130" s="4">
        <f t="shared" ref="G1130:K1130" si="738">IFERROR(G1098/G1022,"-")</f>
        <v>0.49999999999999972</v>
      </c>
      <c r="H1130" s="4">
        <f t="shared" si="738"/>
        <v>0.43304051244978087</v>
      </c>
      <c r="I1130" s="4">
        <f t="shared" si="738"/>
        <v>0.44563480937954608</v>
      </c>
      <c r="J1130" s="4">
        <f t="shared" si="738"/>
        <v>0.46729876738624943</v>
      </c>
      <c r="K1130" s="4">
        <f t="shared" si="738"/>
        <v>0.4989908397254933</v>
      </c>
    </row>
    <row r="1131" spans="2:11" x14ac:dyDescent="0.3">
      <c r="B1131" s="5" t="str">
        <f t="shared" si="702"/>
        <v>SPS3</v>
      </c>
      <c r="C1131" s="5" t="str">
        <f t="shared" si="725"/>
        <v>CH</v>
      </c>
      <c r="D1131" t="s">
        <v>1113</v>
      </c>
      <c r="E1131" t="s">
        <v>240</v>
      </c>
      <c r="F1131" s="4">
        <f>IFERROR(F1100/F1027,"-")</f>
        <v>0.62500000000000111</v>
      </c>
      <c r="G1131" s="4">
        <f t="shared" ref="G1131:K1131" si="739">IFERROR(G1100/G1027,"-")</f>
        <v>0.62499999999999989</v>
      </c>
      <c r="H1131" s="4">
        <f t="shared" si="739"/>
        <v>0.44125501346156182</v>
      </c>
      <c r="I1131" s="4">
        <f t="shared" si="739"/>
        <v>0.44508430061714649</v>
      </c>
      <c r="J1131" s="4">
        <f t="shared" si="739"/>
        <v>0.46076830054734474</v>
      </c>
      <c r="K1131" s="4">
        <f t="shared" si="739"/>
        <v>0.49689285999837196</v>
      </c>
    </row>
    <row r="1132" spans="2:11" x14ac:dyDescent="0.3">
      <c r="B1132" s="5" t="str">
        <f t="shared" si="702"/>
        <v>SPS3</v>
      </c>
      <c r="C1132" s="5" t="str">
        <f t="shared" si="725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3">
      <c r="B1133" s="5" t="str">
        <f t="shared" si="702"/>
        <v>SPS3</v>
      </c>
      <c r="C1133" s="5" t="str">
        <f t="shared" si="725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40">IFERROR(G1104/G1039,"-")</f>
        <v>-</v>
      </c>
      <c r="H1133" s="4" t="str">
        <f t="shared" si="740"/>
        <v>-</v>
      </c>
      <c r="I1133" s="4" t="str">
        <f t="shared" si="740"/>
        <v>-</v>
      </c>
      <c r="J1133" s="4" t="str">
        <f t="shared" si="740"/>
        <v>-</v>
      </c>
      <c r="K1133" s="4" t="str">
        <f t="shared" si="740"/>
        <v>-</v>
      </c>
    </row>
    <row r="1134" spans="2:11" x14ac:dyDescent="0.3">
      <c r="B1134" s="9" t="str">
        <f t="shared" si="702"/>
        <v>SPS3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41">F1135+F1150+F1155+F1178+F1201</f>
        <v>140.47335332118487</v>
      </c>
      <c r="G1134" s="3">
        <f t="shared" si="741"/>
        <v>139.89982805626417</v>
      </c>
      <c r="H1134" s="3">
        <f t="shared" si="741"/>
        <v>123.16315856799693</v>
      </c>
      <c r="I1134" s="3">
        <f t="shared" si="741"/>
        <v>68.822031734789533</v>
      </c>
      <c r="J1134" s="3">
        <f t="shared" si="741"/>
        <v>56.430849242709925</v>
      </c>
      <c r="K1134" s="3">
        <f t="shared" si="741"/>
        <v>44.292665683625472</v>
      </c>
    </row>
    <row r="1135" spans="2:11" x14ac:dyDescent="0.3">
      <c r="B1135" s="5" t="str">
        <f t="shared" si="702"/>
        <v>SPS3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0.73721456164777999</v>
      </c>
      <c r="G1135" s="1">
        <f t="shared" ref="G1135:K1135" si="742">SUM(G1136:G1149)</f>
        <v>1.5936977521888103</v>
      </c>
      <c r="H1135" s="1">
        <f t="shared" si="742"/>
        <v>4.4705871231792624</v>
      </c>
      <c r="I1135" s="1">
        <f t="shared" si="742"/>
        <v>14.622832184903588</v>
      </c>
      <c r="J1135" s="1">
        <f t="shared" si="742"/>
        <v>30.926993772495877</v>
      </c>
      <c r="K1135" s="1">
        <f t="shared" si="742"/>
        <v>36.384608636176324</v>
      </c>
    </row>
    <row r="1136" spans="2:11" x14ac:dyDescent="0.3">
      <c r="B1136" s="5" t="str">
        <f t="shared" si="702"/>
        <v>SPS3</v>
      </c>
      <c r="C1136" s="5" t="str">
        <f t="shared" ref="C1136:C1215" si="74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0.46781412883541035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0.37693931030775929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0.26220567389635169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3.8487764570200001E-6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3">
      <c r="B1137" s="5" t="str">
        <f t="shared" si="702"/>
        <v>SPS3</v>
      </c>
      <c r="C1137" s="5" t="str">
        <f t="shared" si="74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8.0985938391868895E-3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0.20716322092744729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5.4702048630279936E-2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5.8111207615069294E-5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1.0086524893070863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1.1479601607967749</v>
      </c>
    </row>
    <row r="1138" spans="2:11" x14ac:dyDescent="0.3">
      <c r="B1138" s="5" t="str">
        <f t="shared" si="702"/>
        <v>SPS3</v>
      </c>
      <c r="C1138" s="5" t="str">
        <f t="shared" si="74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6.5245454997568592E-2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3.7162774775208136E-2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3.8124234681272566E-2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3.7724954279602624E-4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6.4635025402136259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9.7728244546904115</v>
      </c>
    </row>
    <row r="1139" spans="2:11" x14ac:dyDescent="0.3">
      <c r="B1139" s="5" t="str">
        <f t="shared" si="702"/>
        <v>SPS3</v>
      </c>
      <c r="C1139" s="5" t="str">
        <f t="shared" si="74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4.4122120173220723E-2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0.10203644723029831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3.2354375772708481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14.420656073841762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5.5894810961904327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1.6787146644279647</v>
      </c>
    </row>
    <row r="1140" spans="2:11" x14ac:dyDescent="0.3">
      <c r="B1140" s="5" t="str">
        <f t="shared" ref="B1140:B1203" si="744">B1139</f>
        <v>SPS3</v>
      </c>
      <c r="C1140" s="5" t="str">
        <f t="shared" si="74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0.14821892067800352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0.78346726882153495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0.74436105040786704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7.3862784423756728E-4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14.63721851567179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15.359107009880624</v>
      </c>
    </row>
    <row r="1141" spans="2:11" x14ac:dyDescent="0.3">
      <c r="B1141" s="5" t="str">
        <f t="shared" si="744"/>
        <v>SPS3</v>
      </c>
      <c r="C1141" s="5" t="str">
        <f t="shared" si="74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3.5788948561464969E-4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4.7842461708854251E-4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1.1396400732872759E-5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2.1047508054521315E-3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1.9734660350486312E-3</v>
      </c>
    </row>
    <row r="1142" spans="2:11" x14ac:dyDescent="0.3">
      <c r="B1142" s="5" t="str">
        <f t="shared" si="744"/>
        <v>SPS3</v>
      </c>
      <c r="C1142" s="5" t="str">
        <f t="shared" si="74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3.7096160814480087E-3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7.8427051493139242E-3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1.2686264765294157E-2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5.055888232009534E-6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0.48674022267339218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0.1952309814039293</v>
      </c>
    </row>
    <row r="1143" spans="2:11" x14ac:dyDescent="0.3">
      <c r="B1143" s="5" t="str">
        <f t="shared" si="744"/>
        <v>SPS3</v>
      </c>
      <c r="C1143" s="5" t="str">
        <f t="shared" si="74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3.2103950020711423E-3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7.4361057925372964E-3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1.5892717365874802E-5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1.3479952426961908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3.303329399849313</v>
      </c>
    </row>
    <row r="1144" spans="2:11" x14ac:dyDescent="0.3">
      <c r="B1144" s="5" t="str">
        <f t="shared" si="744"/>
        <v>SPS3</v>
      </c>
      <c r="C1144" s="5" t="str">
        <f t="shared" si="74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1.9338879438787312E-2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2.3581960357529068E-2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1.4430852248205968E-5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2.8778204652939253E-2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1.9531745927199438E-2</v>
      </c>
    </row>
    <row r="1145" spans="2:11" x14ac:dyDescent="0.3">
      <c r="B1145" s="5" t="str">
        <f t="shared" si="744"/>
        <v>SPS3</v>
      </c>
      <c r="C1145" s="5" t="str">
        <f t="shared" ref="C1145:C1149" si="74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5.5530791356162728E-4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7.9171979897949679E-4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7.5192021271567881E-6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2.0998549004470441E-3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1.9682423477579329E-3</v>
      </c>
    </row>
    <row r="1146" spans="2:11" x14ac:dyDescent="0.3">
      <c r="B1146" s="5" t="str">
        <f t="shared" si="744"/>
        <v>SPS3</v>
      </c>
      <c r="C1146" s="5" t="str">
        <f t="shared" si="74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5.7270429419494411E-6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2.422382403149288E-4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2.4011032706664326E-2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7.2131815220483312E-6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0.29814921251935123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0.1370847592567577</v>
      </c>
    </row>
    <row r="1147" spans="2:11" x14ac:dyDescent="0.3">
      <c r="B1147" s="5" t="str">
        <f t="shared" si="744"/>
        <v>SPS3</v>
      </c>
      <c r="C1147" s="5" t="str">
        <f t="shared" si="74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2.5355796950671315E-4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9.2261928793669051E-4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1.5722993887532133E-5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0.94095045563477853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2.3006492432433889</v>
      </c>
    </row>
    <row r="1148" spans="2:11" x14ac:dyDescent="0.3">
      <c r="B1148" s="5" t="str">
        <f t="shared" si="744"/>
        <v>SPS3</v>
      </c>
      <c r="C1148" s="5" t="str">
        <f t="shared" si="74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5.512775692739192E-2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6.5848410966613577E-2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1.2484988360445955E-5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2.2911552674744824E-2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1.762690614802467E-2</v>
      </c>
    </row>
    <row r="1149" spans="2:11" x14ac:dyDescent="0.3">
      <c r="B1149" s="5" t="str">
        <f t="shared" si="744"/>
        <v>SPS3</v>
      </c>
      <c r="C1149" s="5" t="str">
        <f t="shared" si="74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0.20090855746624137</v>
      </c>
      <c r="J1149" s="1">
        <f>[1]Transport!F$32</f>
        <v>9.8409634555642833E-2</v>
      </c>
      <c r="K1149" s="1">
        <f>[1]Transport!G$32</f>
        <v>2.4486076021691234</v>
      </c>
    </row>
    <row r="1150" spans="2:11" x14ac:dyDescent="0.3">
      <c r="B1150" s="5" t="str">
        <f t="shared" si="744"/>
        <v>SPS3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9.4229049571105958E-4</v>
      </c>
      <c r="G1150" s="1">
        <f t="shared" ref="G1150:K1150" si="746">SUM(G1151:G1154)</f>
        <v>2.1204857651290305E-3</v>
      </c>
      <c r="H1150" s="1">
        <f t="shared" si="746"/>
        <v>3.0444050565122823E-3</v>
      </c>
      <c r="I1150" s="1">
        <f t="shared" si="746"/>
        <v>0</v>
      </c>
      <c r="J1150" s="1">
        <f t="shared" si="746"/>
        <v>8.2808110433311571E-3</v>
      </c>
      <c r="K1150" s="1">
        <f t="shared" si="746"/>
        <v>0.15579168229550294</v>
      </c>
    </row>
    <row r="1151" spans="2:11" x14ac:dyDescent="0.3">
      <c r="B1151" s="5" t="str">
        <f t="shared" si="744"/>
        <v>SPS3</v>
      </c>
      <c r="C1151" s="5" t="str">
        <f t="shared" si="74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1.7477128955141626E-4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4.9671194221825366E-4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0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2.6107069136079865E-3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1.7492671017243159E-3</v>
      </c>
    </row>
    <row r="1152" spans="2:11" x14ac:dyDescent="0.3">
      <c r="B1152" s="5" t="str">
        <f t="shared" si="744"/>
        <v>SPS3</v>
      </c>
      <c r="C1152" s="5" t="str">
        <f t="shared" si="74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1.1032448698126434E-4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2.9957331119881419E-4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5.8401794449993577E-4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0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1.787197933529923E-3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2.1615726268320009E-3</v>
      </c>
    </row>
    <row r="1153" spans="2:11" x14ac:dyDescent="0.3">
      <c r="B1153" s="5" t="str">
        <f t="shared" si="744"/>
        <v>SPS3</v>
      </c>
      <c r="C1153" s="5" t="str">
        <f t="shared" si="74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8.3196600872979527E-4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1.3808364940312591E-3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1.4367671243190753E-3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0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1.6816847717957195E-3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2.9586833814473556E-3</v>
      </c>
    </row>
    <row r="1154" spans="2:11" x14ac:dyDescent="0.3">
      <c r="B1154" s="5" t="str">
        <f t="shared" si="744"/>
        <v>SPS3</v>
      </c>
      <c r="C1154" s="5" t="str">
        <f t="shared" si="74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2.6530467034754105E-4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5.2690804547501772E-4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0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2.2012214243975281E-3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0.14892215918549928</v>
      </c>
    </row>
    <row r="1155" spans="2:11" x14ac:dyDescent="0.3">
      <c r="B1155" s="5" t="str">
        <f t="shared" si="744"/>
        <v>SPS3</v>
      </c>
      <c r="C1155" s="5" t="str">
        <f t="shared" si="743"/>
        <v>CH</v>
      </c>
      <c r="D1155" t="s">
        <v>1258</v>
      </c>
      <c r="E1155" t="s">
        <v>8</v>
      </c>
      <c r="F1155" s="1">
        <f>SUM(F1160:F1177)</f>
        <v>76.624007877160352</v>
      </c>
      <c r="G1155" s="1">
        <f t="shared" ref="G1155:K1155" si="747">SUM(G1160:G1177)</f>
        <v>78.468890795576229</v>
      </c>
      <c r="H1155" s="1">
        <f t="shared" si="747"/>
        <v>73.273191882410813</v>
      </c>
      <c r="I1155" s="1">
        <f t="shared" si="747"/>
        <v>32.033467607281331</v>
      </c>
      <c r="J1155" s="1">
        <f t="shared" si="747"/>
        <v>15.05739390636929</v>
      </c>
      <c r="K1155" s="1">
        <f t="shared" si="747"/>
        <v>4.5890225487354375</v>
      </c>
    </row>
    <row r="1156" spans="2:11" x14ac:dyDescent="0.3">
      <c r="B1156" s="5" t="str">
        <f t="shared" si="744"/>
        <v>SPS3</v>
      </c>
      <c r="C1156" s="5" t="str">
        <f t="shared" si="743"/>
        <v>CH</v>
      </c>
      <c r="D1156" t="s">
        <v>1259</v>
      </c>
      <c r="E1156" t="str">
        <f>E1155</f>
        <v>PJ/yr.</v>
      </c>
      <c r="F1156" s="1">
        <f>F1155-F1157</f>
        <v>72.429378142346962</v>
      </c>
      <c r="G1156" s="1">
        <f t="shared" ref="G1156:K1156" si="748">G1155-G1157</f>
        <v>74.17228421803047</v>
      </c>
      <c r="H1156" s="1">
        <f t="shared" si="748"/>
        <v>69.259416367216232</v>
      </c>
      <c r="I1156" s="1">
        <f t="shared" si="748"/>
        <v>24.698574827792541</v>
      </c>
      <c r="J1156" s="1">
        <f t="shared" si="748"/>
        <v>0.3816909891711866</v>
      </c>
      <c r="K1156" s="1">
        <f t="shared" si="748"/>
        <v>-1.4579853319921732E-2</v>
      </c>
    </row>
    <row r="1157" spans="2:11" x14ac:dyDescent="0.3">
      <c r="B1157" s="5" t="str">
        <f t="shared" si="744"/>
        <v>SPS3</v>
      </c>
      <c r="C1157" s="5" t="str">
        <f t="shared" si="743"/>
        <v>CH</v>
      </c>
      <c r="D1157" t="s">
        <v>1260</v>
      </c>
      <c r="E1157" t="str">
        <f>E1156</f>
        <v>PJ/yr.</v>
      </c>
      <c r="F1157" s="1">
        <f>SUM(F1158:F1159)</f>
        <v>4.1946297348133896</v>
      </c>
      <c r="G1157" s="1">
        <f t="shared" ref="G1157" si="749">SUM(G1158:G1159)</f>
        <v>4.2966065775457531</v>
      </c>
      <c r="H1157" s="1">
        <f t="shared" ref="H1157" si="750">SUM(H1158:H1159)</f>
        <v>4.0137755151945758</v>
      </c>
      <c r="I1157" s="1">
        <f t="shared" ref="I1157" si="751">SUM(I1158:I1159)</f>
        <v>7.3348927794887917</v>
      </c>
      <c r="J1157" s="1">
        <f t="shared" ref="J1157" si="752">SUM(J1158:J1159)</f>
        <v>14.675702917198103</v>
      </c>
      <c r="K1157" s="1">
        <f t="shared" ref="K1157" si="753">SUM(K1158:K1159)</f>
        <v>4.6036024020553592</v>
      </c>
    </row>
    <row r="1158" spans="2:11" x14ac:dyDescent="0.3">
      <c r="B1158" s="5" t="str">
        <f t="shared" si="744"/>
        <v>SPS3</v>
      </c>
      <c r="C1158" s="5" t="str">
        <f t="shared" si="74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4.1946297348133896</v>
      </c>
      <c r="G1158" s="1">
        <f>[1]Transport!C$25/SUM([1]Transport!C$21,[1]Transport!C$25)*G1155*(G$34+G$598)/(G$34+G$598+G$37)</f>
        <v>4.2966065775457531</v>
      </c>
      <c r="H1158" s="1">
        <f>[1]Transport!D$25/SUM([1]Transport!D$21,[1]Transport!D$25)*H1155*(H$34+H$598)/(H$34+H$598+H$37)</f>
        <v>4.0137755151945758</v>
      </c>
      <c r="I1158" s="1">
        <f>[1]Transport!E$25/SUM([1]Transport!E$21,[1]Transport!E$25)*I1155*(I$34+I$598)/(I$34+I$598+I$37)</f>
        <v>7.3348927794887917</v>
      </c>
      <c r="J1158" s="1">
        <f>[1]Transport!F$25/SUM([1]Transport!F$21,[1]Transport!F$25)*J1155*(J$34+J$598)/(J$34+J$598+J$37)</f>
        <v>4.1700178810528055</v>
      </c>
      <c r="K1158" s="1">
        <f>[1]Transport!G$25/SUM([1]Transport!G$21,[1]Transport!G$25)*K1155*(K$34+K$598)/(K$34+K$598+K$37)</f>
        <v>3.6116218223996088</v>
      </c>
    </row>
    <row r="1159" spans="2:11" x14ac:dyDescent="0.3">
      <c r="B1159" s="5" t="str">
        <f t="shared" si="744"/>
        <v>SPS3</v>
      </c>
      <c r="C1159" s="5" t="str">
        <f t="shared" si="74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10.505685036145298</v>
      </c>
      <c r="K1159" s="1">
        <f>(K$37+K$717)/([1]Transport!G$21+[1]Transport!G$25)*K1155</f>
        <v>0.9919805796557507</v>
      </c>
    </row>
    <row r="1160" spans="2:11" x14ac:dyDescent="0.3">
      <c r="B1160" s="5" t="str">
        <f t="shared" si="744"/>
        <v>SPS3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1.254105037657145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1.2428905479286081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1.3839978500607933E-5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2.3929143547093162E-5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3">
      <c r="B1161" s="5" t="str">
        <f t="shared" si="744"/>
        <v>SPS3</v>
      </c>
      <c r="C1161" s="5" t="str">
        <f t="shared" si="74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4.1939238385622753E-2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2.1233804723425147E-3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3.7274861832655367E-5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0.98349521339939827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0.20892587536967838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9.7121685925398015E-4</v>
      </c>
    </row>
    <row r="1162" spans="2:11" x14ac:dyDescent="0.3">
      <c r="B1162" s="5" t="str">
        <f t="shared" si="744"/>
        <v>SPS3</v>
      </c>
      <c r="C1162" s="5" t="str">
        <f t="shared" si="74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6.0367217168326215E-2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2.1188177966750283E-3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2.8724257890806108E-4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8.1400037926411368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2.3709618524360905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2.0679836873783611E-3</v>
      </c>
    </row>
    <row r="1163" spans="2:11" x14ac:dyDescent="0.3">
      <c r="B1163" s="5" t="str">
        <f t="shared" si="744"/>
        <v>SPS3</v>
      </c>
      <c r="C1163" s="5" t="str">
        <f t="shared" si="74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7.7238370212990931E-2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1.1551900988349728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2.0423329921804867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10.444899880067807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3.3626930730627986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1.7148025421285253E-3</v>
      </c>
    </row>
    <row r="1164" spans="2:11" x14ac:dyDescent="0.3">
      <c r="B1164" s="5" t="str">
        <f t="shared" si="744"/>
        <v>SPS3</v>
      </c>
      <c r="C1164" s="5" t="str">
        <f t="shared" si="74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8.7228322920192322E-2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3.7255126652790772E-2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2.4284160681926789E-4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11.662110642058567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3.382280667897378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1.8844987105013694E-3</v>
      </c>
    </row>
    <row r="1165" spans="2:11" x14ac:dyDescent="0.3">
      <c r="B1165" s="5" t="str">
        <f t="shared" si="744"/>
        <v>SPS3</v>
      </c>
      <c r="C1165" s="5" t="str">
        <f t="shared" si="74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63.987685113378454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58.559280672511662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47.975537690175898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1.0037555959739887E-5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3">
      <c r="B1166" s="5" t="str">
        <f t="shared" si="744"/>
        <v>SPS3</v>
      </c>
      <c r="C1166" s="5" t="str">
        <f t="shared" si="74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0.43919157194493441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0.55067698475576099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1.5745681127760083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7.2200838690815713E-2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2.5596464436988091E-3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7.5355098179378426E-4</v>
      </c>
    </row>
    <row r="1167" spans="2:11" x14ac:dyDescent="0.3">
      <c r="B1167" s="5" t="str">
        <f t="shared" si="744"/>
        <v>SPS3</v>
      </c>
      <c r="C1167" s="5" t="str">
        <f t="shared" si="74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3.4468232535345229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5.3074238281007338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7.8966269943409015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0.72878599307907566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5.7601111470407598E-3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1.6996629688793988E-3</v>
      </c>
    </row>
    <row r="1168" spans="2:11" x14ac:dyDescent="0.3">
      <c r="B1168" s="5" t="str">
        <f t="shared" si="744"/>
        <v>SPS3</v>
      </c>
      <c r="C1168" s="5" t="str">
        <f t="shared" si="74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3.5801063977443852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5.6682536031781288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5.5650218450622466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6.4583904596136985E-4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5.1086081508798821E-3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1.4765973778513369E-3</v>
      </c>
    </row>
    <row r="1169" spans="2:18" x14ac:dyDescent="0.3">
      <c r="B1169" s="5" t="str">
        <f t="shared" si="744"/>
        <v>SPS3</v>
      </c>
      <c r="C1169" s="5" t="str">
        <f t="shared" si="74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3.3329415869414727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5.2544050967093137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7.4788673736716831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2.3201641069312668E-4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1.6584763936807939E-2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4.8539508568602417E-3</v>
      </c>
    </row>
    <row r="1170" spans="2:18" x14ac:dyDescent="0.3">
      <c r="B1170" s="5" t="str">
        <f t="shared" si="744"/>
        <v>SPS3</v>
      </c>
      <c r="C1170" s="5" t="str">
        <f t="shared" si="74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2.4662226311149354E-5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4.3094835313963633E-5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3.2172145971625472E-4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2.2736311150340011E-4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3.8565068561160988E-5</v>
      </c>
    </row>
    <row r="1171" spans="2:18" x14ac:dyDescent="0.3">
      <c r="B1171" s="5" t="str">
        <f t="shared" si="744"/>
        <v>SPS3</v>
      </c>
      <c r="C1171" s="5" t="str">
        <f t="shared" si="74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3.1037255180713306E-5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6.1278138683440578E-5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1.3259262140059369E-4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2.1139100714874314E-4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7.4395625298059284E-5</v>
      </c>
    </row>
    <row r="1172" spans="2:18" x14ac:dyDescent="0.3">
      <c r="B1172" s="5" t="str">
        <f t="shared" si="744"/>
        <v>SPS3</v>
      </c>
      <c r="C1172" s="5" t="str">
        <f t="shared" si="74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3.0549596921419691E-5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7.0225805948056217E-5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1.4074580196537563E-4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2.3943607217346535E-4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8.8103721803045265E-5</v>
      </c>
    </row>
    <row r="1173" spans="2:18" x14ac:dyDescent="0.3">
      <c r="B1173" s="5" t="str">
        <f t="shared" si="744"/>
        <v>SPS3</v>
      </c>
      <c r="C1173" s="5" t="str">
        <f t="shared" si="74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3.4221507180976833E-5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6.3950948074524997E-5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1.7368466866798588E-4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2.3772815131142255E-4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7.6316294008933552E-5</v>
      </c>
    </row>
    <row r="1174" spans="2:18" x14ac:dyDescent="0.3">
      <c r="B1174" s="5" t="str">
        <f t="shared" si="744"/>
        <v>SPS3</v>
      </c>
      <c r="C1174" s="5" t="str">
        <f t="shared" si="74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3.2395434755602427E-4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8.060461080783201E-3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8.5541335688372501E-3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8.3492147428562705E-5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9.6997058429774095E-3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4.4394439078721485E-3</v>
      </c>
    </row>
    <row r="1175" spans="2:18" x14ac:dyDescent="0.3">
      <c r="B1175" s="5" t="str">
        <f t="shared" si="744"/>
        <v>SPS3</v>
      </c>
      <c r="C1175" s="5" t="str">
        <f t="shared" si="74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7.8770898244547832E-2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0.15071961279849808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0.23345571285529981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4.3413014566077761E-5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1.9137189078701635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0.35516212301876282</v>
      </c>
    </row>
    <row r="1176" spans="2:18" x14ac:dyDescent="0.3">
      <c r="B1176" s="5" t="str">
        <f t="shared" si="744"/>
        <v>SPS3</v>
      </c>
      <c r="C1176" s="5" t="str">
        <f t="shared" si="74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8.2094357507991975E-2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0.24309289625500524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0.21862475489349206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8.4260739022380695E-5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3.6902001199563683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4.185501539310466</v>
      </c>
    </row>
    <row r="1177" spans="2:18" x14ac:dyDescent="0.3">
      <c r="B1177" s="5" t="str">
        <f t="shared" si="744"/>
        <v>SPS3</v>
      </c>
      <c r="C1177" s="5" t="str">
        <f t="shared" si="74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0.15519255717220864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0.28727919791534801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0.27878252413186488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7.9514735619884557E-5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8.7984655913269469E-2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2.8219797804018034E-2</v>
      </c>
    </row>
    <row r="1178" spans="2:18" x14ac:dyDescent="0.3">
      <c r="B1178" s="5" t="str">
        <f t="shared" si="744"/>
        <v>SPS3</v>
      </c>
      <c r="C1178" s="5" t="str">
        <f t="shared" si="743"/>
        <v>CH</v>
      </c>
      <c r="D1178" t="s">
        <v>1281</v>
      </c>
      <c r="E1178" t="s">
        <v>8</v>
      </c>
      <c r="F1178" s="1">
        <f>SUM(F1183:F1200)</f>
        <v>63.003523277786876</v>
      </c>
      <c r="G1178" s="1">
        <f t="shared" ref="G1178:K1178" si="754">SUM(G1183:G1200)</f>
        <v>59.722739066266193</v>
      </c>
      <c r="H1178" s="1">
        <f t="shared" si="754"/>
        <v>45.302996379103725</v>
      </c>
      <c r="I1178" s="1">
        <f t="shared" si="754"/>
        <v>22.157561167158953</v>
      </c>
      <c r="J1178" s="1">
        <f t="shared" si="754"/>
        <v>10.431937592915467</v>
      </c>
      <c r="K1178" s="1">
        <f t="shared" si="754"/>
        <v>3.1614447467576459</v>
      </c>
    </row>
    <row r="1179" spans="2:18" x14ac:dyDescent="0.3">
      <c r="B1179" s="5" t="str">
        <f t="shared" si="744"/>
        <v>SPS3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61.471810201411209</v>
      </c>
      <c r="G1179" s="1">
        <f t="shared" ref="G1179:K1179" si="755">G1178-G1180</f>
        <v>58.141082207382972</v>
      </c>
      <c r="H1179" s="1">
        <f t="shared" si="755"/>
        <v>43.787863237534467</v>
      </c>
      <c r="I1179" s="1">
        <f t="shared" si="755"/>
        <v>20.920153513536111</v>
      </c>
      <c r="J1179" s="1">
        <f t="shared" si="755"/>
        <v>9.5313764469829607</v>
      </c>
      <c r="K1179" s="1">
        <f t="shared" si="755"/>
        <v>-0.51207954600667227</v>
      </c>
    </row>
    <row r="1180" spans="2:18" x14ac:dyDescent="0.3">
      <c r="B1180" s="5" t="str">
        <f t="shared" si="744"/>
        <v>SPS3</v>
      </c>
      <c r="C1180" s="5" t="str">
        <f t="shared" ref="C1180:C1182" si="756">C1179</f>
        <v>CH</v>
      </c>
      <c r="D1180" t="s">
        <v>1283</v>
      </c>
      <c r="E1180" t="str">
        <f t="shared" ref="E1180:E1182" si="757">E1179</f>
        <v>PJ/yr.</v>
      </c>
      <c r="F1180" s="1">
        <f>SUM(F1181:F1182)</f>
        <v>1.5317130763756697</v>
      </c>
      <c r="G1180" s="1">
        <f t="shared" ref="G1180" si="758">SUM(G1181:G1182)</f>
        <v>1.5816568588832203</v>
      </c>
      <c r="H1180" s="1">
        <f t="shared" ref="H1180" si="759">SUM(H1181:H1182)</f>
        <v>1.5151331415692553</v>
      </c>
      <c r="I1180" s="1">
        <f t="shared" ref="I1180" si="760">SUM(I1181:I1182)</f>
        <v>1.2374076536228427</v>
      </c>
      <c r="J1180" s="1">
        <f t="shared" ref="J1180" si="761">SUM(J1181:J1182)</f>
        <v>0.90056114593250658</v>
      </c>
      <c r="K1180" s="1">
        <f t="shared" ref="K1180" si="762">SUM(K1181:K1182)</f>
        <v>3.6735242927643181</v>
      </c>
    </row>
    <row r="1181" spans="2:18" x14ac:dyDescent="0.3">
      <c r="B1181" s="5" t="str">
        <f t="shared" si="744"/>
        <v>SPS3</v>
      </c>
      <c r="C1181" s="5" t="str">
        <f t="shared" si="756"/>
        <v>CH</v>
      </c>
      <c r="D1181" t="s">
        <v>1284</v>
      </c>
      <c r="E1181" t="str">
        <f t="shared" si="757"/>
        <v>PJ/yr.</v>
      </c>
      <c r="F1181" s="1">
        <f>[1]Transport!B$26/SUM([1]Transport!B$22,[1]Transport!B$26)*F1178*(F$33+F$580)/(F$33+F$580+F$36)</f>
        <v>1.5317130763756697</v>
      </c>
      <c r="G1181" s="1">
        <f>[1]Transport!C$26/SUM([1]Transport!C$22,[1]Transport!C$26)*G1178*(G$33+G$580)/(G$33+G$580+G$36)</f>
        <v>1.5816568588832203</v>
      </c>
      <c r="H1181" s="1">
        <f>[1]Transport!D$26/SUM([1]Transport!D$22,[1]Transport!D$26)*H1178*(H$33+H$580)/(H$33+H$580+H$36)</f>
        <v>1.5151331415692553</v>
      </c>
      <c r="I1181" s="1">
        <f>[1]Transport!E$26/SUM([1]Transport!E$22,[1]Transport!E$26)*I1178*(I$33+I$580)/(I$33+I$580+I$36)</f>
        <v>1.2374076536228427</v>
      </c>
      <c r="J1181" s="1">
        <f>[1]Transport!F$26/SUM([1]Transport!F$22,[1]Transport!F$26)*J1178*(J$33+J$580)/(J$33+J$580+J$36)</f>
        <v>0.6289449525395886</v>
      </c>
      <c r="K1181" s="1">
        <f>[1]Transport!G$26/SUM([1]Transport!G$22,[1]Transport!G$26)*K1178*(K$33+K$580)/(K$33+K$580+K$36)</f>
        <v>0.56942945062692518</v>
      </c>
    </row>
    <row r="1182" spans="2:18" x14ac:dyDescent="0.3">
      <c r="B1182" s="5" t="str">
        <f t="shared" si="744"/>
        <v>SPS3</v>
      </c>
      <c r="C1182" s="5" t="str">
        <f t="shared" si="756"/>
        <v>CH</v>
      </c>
      <c r="D1182" t="s">
        <v>1285</v>
      </c>
      <c r="E1182" t="str">
        <f t="shared" si="757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0.27161619339291798</v>
      </c>
      <c r="K1182" s="1">
        <f>(K$36+K$716)/([1]Transport!G$22+[1]Transport!G$26)*K1178</f>
        <v>3.1040948421373931</v>
      </c>
      <c r="M1182" s="1"/>
      <c r="N1182" s="1"/>
      <c r="O1182" s="1"/>
      <c r="P1182" s="1"/>
      <c r="Q1182" s="1"/>
      <c r="R1182" s="1"/>
    </row>
    <row r="1183" spans="2:18" x14ac:dyDescent="0.3">
      <c r="B1183" s="5" t="str">
        <f t="shared" si="744"/>
        <v>SPS3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3">
      <c r="B1184" s="5" t="str">
        <f t="shared" si="744"/>
        <v>SPS3</v>
      </c>
      <c r="C1184" s="5" t="str">
        <f t="shared" si="74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4.0540338408686661E-5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9.9192807268048898E-5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2.7662303225859522E-5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1.5018100092140703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0.21542240727811796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8.9093462187369394E-4</v>
      </c>
      <c r="R1184" s="1"/>
    </row>
    <row r="1185" spans="2:11" x14ac:dyDescent="0.3">
      <c r="B1185" s="5" t="str">
        <f t="shared" si="744"/>
        <v>SPS3</v>
      </c>
      <c r="C1185" s="5" t="str">
        <f t="shared" si="74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2.6110122862614588E-3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0.84686817849201979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0.80193961178481854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14.173287591425957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3.9350653663293373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1.7625163946228676E-3</v>
      </c>
    </row>
    <row r="1186" spans="2:11" x14ac:dyDescent="0.3">
      <c r="B1186" s="5" t="str">
        <f t="shared" si="744"/>
        <v>SPS3</v>
      </c>
      <c r="C1186" s="5" t="str">
        <f t="shared" si="74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2.6409629367506685E-2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0.49131044854455252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0.46327350193270667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5.7858476449233827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2.1782482144151221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1.4595069614806134E-3</v>
      </c>
    </row>
    <row r="1187" spans="2:11" x14ac:dyDescent="0.3">
      <c r="B1187" s="5" t="str">
        <f t="shared" si="744"/>
        <v>SPS3</v>
      </c>
      <c r="C1187" s="5" t="str">
        <f t="shared" si="74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3.4282275200679654E-2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4.9343540658993011E-2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4.4716841005285994E-2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0.27890539693340488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7.4858272227484299E-2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1.6111379619003206E-3</v>
      </c>
    </row>
    <row r="1188" spans="2:11" x14ac:dyDescent="0.3">
      <c r="B1188" s="5" t="str">
        <f t="shared" si="744"/>
        <v>SPS3</v>
      </c>
      <c r="C1188" s="5" t="str">
        <f t="shared" si="74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55.478714470668244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48.700951236146246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32.941424753163616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9.5135795761290703E-6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3">
      <c r="B1189" s="5" t="str">
        <f t="shared" si="744"/>
        <v>SPS3</v>
      </c>
      <c r="C1189" s="5" t="str">
        <f t="shared" si="74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4.9330927105602947E-3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6.134672814721351E-3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9.9082006435117411E-3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9.0518034906708947E-4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1.2102726547673804E-3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3.553480288504624E-4</v>
      </c>
    </row>
    <row r="1190" spans="2:11" x14ac:dyDescent="0.3">
      <c r="B1190" s="5" t="str">
        <f t="shared" si="744"/>
        <v>SPS3</v>
      </c>
      <c r="C1190" s="5" t="str">
        <f t="shared" si="74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1.1967212274756738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1.2838075090918846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1.2778954774805154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0.41561273485413658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1.8785987819614992E-3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5.4929865581244356E-4</v>
      </c>
    </row>
    <row r="1191" spans="2:11" x14ac:dyDescent="0.3">
      <c r="B1191" s="5" t="str">
        <f t="shared" si="744"/>
        <v>SPS3</v>
      </c>
      <c r="C1191" s="5" t="str">
        <f t="shared" si="74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4.3308510413330197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5.3057916280749806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4.6952534196129356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2.5357360516608613E-4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1.9258054493215045E-3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5.5750502058400815E-4</v>
      </c>
    </row>
    <row r="1192" spans="2:11" x14ac:dyDescent="0.3">
      <c r="B1192" s="5" t="str">
        <f t="shared" si="744"/>
        <v>SPS3</v>
      </c>
      <c r="C1192" s="5" t="str">
        <f t="shared" si="74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1.9230801918345688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2.2104940553085233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2.1713926783530635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1.2573073814669996E-4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1.7768741447651212E-3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5.2006692707555165E-4</v>
      </c>
    </row>
    <row r="1193" spans="2:11" x14ac:dyDescent="0.3">
      <c r="B1193" s="5" t="str">
        <f t="shared" si="744"/>
        <v>SPS3</v>
      </c>
      <c r="C1193" s="5" t="str">
        <f t="shared" si="74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2.2684261328907239E-5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3.9387129005239319E-5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2.0594461080578858E-4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1.6938517006543678E-4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3.6563340765441772E-5</v>
      </c>
    </row>
    <row r="1194" spans="2:11" x14ac:dyDescent="0.3">
      <c r="B1194" s="5" t="str">
        <f t="shared" si="744"/>
        <v>SPS3</v>
      </c>
      <c r="C1194" s="5" t="str">
        <f t="shared" si="74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3.16364814799806E-5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5.5790958940883337E-5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1.1013517801327612E-4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1.8982682719892978E-4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6.9392456196458311E-5</v>
      </c>
    </row>
    <row r="1195" spans="2:11" x14ac:dyDescent="0.3">
      <c r="B1195" s="5" t="str">
        <f t="shared" si="744"/>
        <v>SPS3</v>
      </c>
      <c r="C1195" s="5" t="str">
        <f t="shared" si="74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2.8702848024480781E-5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6.5162729868465386E-5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1.1934297774216262E-4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2.1510882314492038E-4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8.1793882394821498E-5</v>
      </c>
    </row>
    <row r="1196" spans="2:11" x14ac:dyDescent="0.3">
      <c r="B1196" s="5" t="str">
        <f t="shared" si="744"/>
        <v>SPS3</v>
      </c>
      <c r="C1196" s="5" t="str">
        <f t="shared" si="74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3.1729119000487979E-5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5.9446696766447957E-5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1.0552674247186731E-4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2.0044306738405262E-4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7.4766318078812891E-5</v>
      </c>
    </row>
    <row r="1197" spans="2:11" x14ac:dyDescent="0.3">
      <c r="B1197" s="5" t="str">
        <f t="shared" si="744"/>
        <v>SPS3</v>
      </c>
      <c r="C1197" s="5" t="str">
        <f t="shared" si="74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2.2296190615947551E-5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1.2259125265703753E-2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1.3869184427494656E-2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5.4164287418913937E-5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9.4942390850635255E-3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4.3619003478541181E-3</v>
      </c>
    </row>
    <row r="1198" spans="2:11" x14ac:dyDescent="0.3">
      <c r="B1198" s="5" t="str">
        <f t="shared" si="744"/>
        <v>SPS3</v>
      </c>
      <c r="C1198" s="5" t="str">
        <f t="shared" si="74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5.6272809278330133E-5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4.5322838700855529E-3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2.1051656218572079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4.4251319338243112E-5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1.4021302358976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0.24582317394175898</v>
      </c>
    </row>
    <row r="1199" spans="2:11" x14ac:dyDescent="0.3">
      <c r="B1199" s="5" t="str">
        <f t="shared" si="744"/>
        <v>SPS3</v>
      </c>
      <c r="C1199" s="5" t="str">
        <f t="shared" si="74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1.9475963406167463E-4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3.5998759802224221E-3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1.0393386694124537E-2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9.0278460598950967E-5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2.5402451246408106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2.8781413571569132</v>
      </c>
    </row>
    <row r="1200" spans="2:11" x14ac:dyDescent="0.3">
      <c r="B1200" s="5" t="str">
        <f t="shared" si="744"/>
        <v>SPS3</v>
      </c>
      <c r="C1200" s="5" t="str">
        <f t="shared" si="74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5.6064679379943007E-3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0.80743256650115802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0.76751625233064147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7.4147959652357939E-5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6.8907418123321462E-2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2.514948474148394E-2</v>
      </c>
    </row>
    <row r="1201" spans="2:11" x14ac:dyDescent="0.3">
      <c r="B1201" s="5" t="str">
        <f t="shared" si="744"/>
        <v>SPS3</v>
      </c>
      <c r="C1201" s="5" t="str">
        <f t="shared" si="743"/>
        <v>CH</v>
      </c>
      <c r="D1201" t="s">
        <v>1304</v>
      </c>
      <c r="E1201" t="s">
        <v>8</v>
      </c>
      <c r="F1201" s="1">
        <f>SUM(F1206:F1210)</f>
        <v>0.10766531409415775</v>
      </c>
      <c r="G1201" s="1">
        <f t="shared" ref="G1201:K1201" si="763">SUM(G1206:G1210)</f>
        <v>0.11237995646780387</v>
      </c>
      <c r="H1201" s="1">
        <f t="shared" si="763"/>
        <v>0.11333877824663544</v>
      </c>
      <c r="I1201" s="1">
        <f t="shared" si="763"/>
        <v>8.1707754456603558E-3</v>
      </c>
      <c r="J1201" s="1">
        <f t="shared" si="763"/>
        <v>6.2431598859606849E-3</v>
      </c>
      <c r="K1201" s="1">
        <f t="shared" si="763"/>
        <v>1.7980696605694618E-3</v>
      </c>
    </row>
    <row r="1202" spans="2:11" x14ac:dyDescent="0.3">
      <c r="B1202" s="5" t="str">
        <f t="shared" si="744"/>
        <v>SPS3</v>
      </c>
      <c r="C1202" s="5" t="str">
        <f t="shared" si="743"/>
        <v>CH</v>
      </c>
      <c r="D1202" t="s">
        <v>1336</v>
      </c>
      <c r="E1202" t="s">
        <v>8</v>
      </c>
      <c r="F1202" s="1">
        <f>F1201-F1203</f>
        <v>9.8723892608482522E-2</v>
      </c>
      <c r="G1202" s="1">
        <f t="shared" ref="G1202:K1202" si="764">G1201-G1203</f>
        <v>0.10193414248229818</v>
      </c>
      <c r="H1202" s="1">
        <f t="shared" si="764"/>
        <v>0.10323258135328819</v>
      </c>
      <c r="I1202" s="1">
        <f t="shared" si="764"/>
        <v>6.7543055813082328E-3</v>
      </c>
      <c r="J1202" s="1">
        <f t="shared" si="764"/>
        <v>-3.1418563052905156E-2</v>
      </c>
      <c r="K1202" s="1">
        <f t="shared" si="764"/>
        <v>-0.42157070505223337</v>
      </c>
    </row>
    <row r="1203" spans="2:11" x14ac:dyDescent="0.3">
      <c r="B1203" s="5" t="str">
        <f t="shared" si="744"/>
        <v>SPS3</v>
      </c>
      <c r="C1203" s="5" t="str">
        <f t="shared" si="743"/>
        <v>CH</v>
      </c>
      <c r="D1203" t="s">
        <v>1337</v>
      </c>
      <c r="E1203" t="s">
        <v>8</v>
      </c>
      <c r="F1203" s="1">
        <f>SUM(F1204:F1205)</f>
        <v>8.941421485675222E-3</v>
      </c>
      <c r="G1203" s="1">
        <f t="shared" ref="G1203" si="765">SUM(G1204:G1205)</f>
        <v>1.0445813985505686E-2</v>
      </c>
      <c r="H1203" s="1">
        <f t="shared" ref="H1203" si="766">SUM(H1204:H1205)</f>
        <v>1.0106196893347245E-2</v>
      </c>
      <c r="I1203" s="1">
        <f t="shared" ref="I1203" si="767">SUM(I1204:I1205)</f>
        <v>1.4164698643521234E-3</v>
      </c>
      <c r="J1203" s="1">
        <f t="shared" ref="J1203" si="768">SUM(J1204:J1205)</f>
        <v>3.7661722938865841E-2</v>
      </c>
      <c r="K1203" s="1">
        <f t="shared" ref="K1203" si="769">SUM(K1204:K1205)</f>
        <v>0.42336877471280282</v>
      </c>
    </row>
    <row r="1204" spans="2:11" x14ac:dyDescent="0.3">
      <c r="B1204" s="5" t="str">
        <f t="shared" ref="B1204:B1267" si="770">B1203</f>
        <v>SPS3</v>
      </c>
      <c r="C1204" s="5" t="str">
        <f t="shared" si="74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8.941421485675222E-3</v>
      </c>
      <c r="G1204" s="1">
        <f>[1]Transport!C$27/SUM([1]Transport!C$24,[1]Transport!C$27)*G1201*(G$45+G$612)/(G$45+G$612+G$47)</f>
        <v>1.0445813985505686E-2</v>
      </c>
      <c r="H1204" s="1">
        <f>[1]Transport!D$27/SUM([1]Transport!D$24,[1]Transport!D$27)*H1201*(H$45+H$612)/(H$45+H$612+H$47)</f>
        <v>1.0106196893347245E-2</v>
      </c>
      <c r="I1204" s="1">
        <f>[1]Transport!E$27/SUM([1]Transport!E$24,[1]Transport!E$27)*I1201*(I$45+I$612)/(I$45+I$612+I$47)</f>
        <v>1.4164698643521234E-3</v>
      </c>
      <c r="J1204" s="1">
        <f>[1]Transport!F$27/SUM([1]Transport!F$24,[1]Transport!F$27)*J1201*(J$45+J$612)/(J$45+J$612+J$47)</f>
        <v>1.5972900295673244E-3</v>
      </c>
      <c r="K1204" s="1">
        <f>[1]Transport!G$27/SUM([1]Transport!G$24,[1]Transport!G$27)*K1201*(K$45+K$612)/(K$45+K$612+K$47)</f>
        <v>4.4026277937679001E-4</v>
      </c>
    </row>
    <row r="1205" spans="2:11" x14ac:dyDescent="0.3">
      <c r="B1205" s="5" t="str">
        <f t="shared" si="770"/>
        <v>SPS3</v>
      </c>
      <c r="C1205" s="5" t="str">
        <f t="shared" si="74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3.6064432909298519E-2</v>
      </c>
      <c r="K1205" s="1">
        <f>(K$47+K$714)/([1]Transport!G$24+[1]Transport!G$27)*K1201</f>
        <v>0.42292851193342601</v>
      </c>
    </row>
    <row r="1206" spans="2:11" x14ac:dyDescent="0.3">
      <c r="B1206" s="5" t="str">
        <f t="shared" si="770"/>
        <v>SPS3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3">
      <c r="B1207" s="5" t="str">
        <f t="shared" si="770"/>
        <v>SPS3</v>
      </c>
      <c r="C1207" s="5" t="str">
        <f t="shared" si="74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3.4691309822023381E-3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3.3235740973627101E-3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3.3303514008548676E-3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2.5106319792132618E-4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6.9113988546801468E-4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2.0002976760202329E-4</v>
      </c>
    </row>
    <row r="1208" spans="2:11" x14ac:dyDescent="0.3">
      <c r="B1208" s="5" t="str">
        <f t="shared" si="770"/>
        <v>SPS3</v>
      </c>
      <c r="C1208" s="5" t="str">
        <f t="shared" si="74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5.2549891070912159E-2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5.7135140439278406E-2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5.8244619353811228E-2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7.3257125371402711E-4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1.488135466821064E-3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4.3357465270256853E-4</v>
      </c>
    </row>
    <row r="1209" spans="2:11" x14ac:dyDescent="0.3">
      <c r="B1209" s="5" t="str">
        <f t="shared" si="770"/>
        <v>SPS3</v>
      </c>
      <c r="C1209" s="5" t="str">
        <f t="shared" si="74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4.2852720416205053E-3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4.4446869399390439E-3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5.1485833141704778E-3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5.1047806426131109E-4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1.9845118006071014E-3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5.6566298108587018E-4</v>
      </c>
    </row>
    <row r="1210" spans="2:11" x14ac:dyDescent="0.3">
      <c r="B1210" s="5" t="str">
        <f t="shared" si="770"/>
        <v>SPS3</v>
      </c>
      <c r="C1210" s="5" t="str">
        <f t="shared" si="74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4.7361019999422736E-2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4.7476554991223704E-2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4.6615224177798863E-2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6.6766629297636913E-3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2.0793727330645044E-3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5.9880225917899961E-4</v>
      </c>
    </row>
    <row r="1211" spans="2:11" x14ac:dyDescent="0.3">
      <c r="B1211" s="5" t="str">
        <f t="shared" si="770"/>
        <v>SPS3</v>
      </c>
      <c r="C1211" s="5" t="str">
        <f t="shared" si="743"/>
        <v>CH</v>
      </c>
      <c r="D1211" s="2" t="s">
        <v>1133</v>
      </c>
      <c r="E1211" s="2" t="s">
        <v>1132</v>
      </c>
      <c r="F1211" s="3">
        <f>SUM(F1212:F1261)</f>
        <v>49.004487261481287</v>
      </c>
      <c r="G1211" s="3">
        <f t="shared" ref="G1211:K1211" si="771">SUM(G1212:G1261)</f>
        <v>57.664993640583901</v>
      </c>
      <c r="H1211" s="3">
        <f t="shared" si="771"/>
        <v>58.441097633551351</v>
      </c>
      <c r="I1211" s="3">
        <f t="shared" si="771"/>
        <v>62.340222660849157</v>
      </c>
      <c r="J1211" s="3">
        <f t="shared" si="771"/>
        <v>62.344734878822045</v>
      </c>
      <c r="K1211" s="3">
        <f t="shared" si="771"/>
        <v>61.150707166339899</v>
      </c>
    </row>
    <row r="1212" spans="2:11" x14ac:dyDescent="0.3">
      <c r="B1212" s="5" t="str">
        <f t="shared" si="770"/>
        <v>SPS3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0.41612627870847196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0.36071032763695088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0.27743862596389163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4.7212127589541569E-6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3">
      <c r="B1213" s="5" t="str">
        <f t="shared" si="770"/>
        <v>SPS3</v>
      </c>
      <c r="C1213" s="5" t="str">
        <f t="shared" si="743"/>
        <v>CH</v>
      </c>
      <c r="D1213" t="s">
        <v>1135</v>
      </c>
      <c r="E1213" t="str">
        <f t="shared" ref="E1213:E1261" si="772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1.4671995483266892E-2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0.37531180129558106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9.9102168396864962E-2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1.0527844618283561E-4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1.9678357845398051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2.4274684386866419</v>
      </c>
    </row>
    <row r="1214" spans="2:11" x14ac:dyDescent="0.3">
      <c r="B1214" s="5" t="str">
        <f t="shared" si="770"/>
        <v>SPS3</v>
      </c>
      <c r="C1214" s="5" t="str">
        <f t="shared" si="743"/>
        <v>CH</v>
      </c>
      <c r="D1214" t="s">
        <v>1136</v>
      </c>
      <c r="E1214" t="str">
        <f t="shared" si="772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9.5506183962764432E-2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5.4398805317245176E-2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5.5806188661645557E-2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5.5221722701586956E-4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10.308546705395875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16.995787377603868</v>
      </c>
    </row>
    <row r="1215" spans="2:11" x14ac:dyDescent="0.3">
      <c r="B1215" s="5" t="str">
        <f t="shared" si="770"/>
        <v>SPS3</v>
      </c>
      <c r="C1215" s="5" t="str">
        <f t="shared" si="743"/>
        <v>CH</v>
      </c>
      <c r="D1215" t="s">
        <v>1137</v>
      </c>
      <c r="E1215" t="str">
        <f t="shared" si="772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5.9011249865034483E-2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0.13646892441270483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4.3272448047710173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19.286945764399011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7.5671773400805531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2.7064473811809791</v>
      </c>
    </row>
    <row r="1216" spans="2:11" x14ac:dyDescent="0.3">
      <c r="B1216" s="5" t="str">
        <f t="shared" si="770"/>
        <v>SPS3</v>
      </c>
      <c r="C1216" s="5" t="str">
        <f t="shared" ref="C1216:C1262" si="773">C1215</f>
        <v>CH</v>
      </c>
      <c r="D1216" t="s">
        <v>1138</v>
      </c>
      <c r="E1216" t="str">
        <f t="shared" si="772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0.19193948903479421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1.0145688996061359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0.96392740561827328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9.5650305886264375E-4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20.409400821087626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23.321607991234195</v>
      </c>
    </row>
    <row r="1217" spans="2:11" x14ac:dyDescent="0.3">
      <c r="B1217" s="5" t="str">
        <f t="shared" si="770"/>
        <v>SPS3</v>
      </c>
      <c r="C1217" s="5" t="str">
        <f t="shared" si="773"/>
        <v>CH</v>
      </c>
      <c r="D1217" t="s">
        <v>1139</v>
      </c>
      <c r="E1217" t="str">
        <f t="shared" si="772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2.2999341256347102E-4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6.4009758276911896E-3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6.9742904449058086E-3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5.8926346203978494E-5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1.1465172314474654E-2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7.7034317142882173E-3</v>
      </c>
    </row>
    <row r="1218" spans="2:11" x14ac:dyDescent="0.3">
      <c r="B1218" s="5" t="str">
        <f t="shared" si="770"/>
        <v>SPS3</v>
      </c>
      <c r="C1218" s="5" t="str">
        <f t="shared" si="773"/>
        <v>CH</v>
      </c>
      <c r="D1218" t="s">
        <v>1140</v>
      </c>
      <c r="E1218" t="str">
        <f t="shared" si="772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5.1754587070521982E-2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0.10012004191345671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0.15589112838534672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4.2797217776022805E-5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2.0574387424310125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0.61464795459863653</v>
      </c>
    </row>
    <row r="1219" spans="2:11" x14ac:dyDescent="0.3">
      <c r="B1219" s="5" t="str">
        <f t="shared" si="770"/>
        <v>SPS3</v>
      </c>
      <c r="C1219" s="5" t="str">
        <f t="shared" si="773"/>
        <v>CH</v>
      </c>
      <c r="D1219" t="s">
        <v>1141</v>
      </c>
      <c r="E1219" t="str">
        <f t="shared" si="772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4.4785422450065809E-2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0.13714348899330819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0.12972269591052007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9.9660269138388867E-5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4.3279866538420784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8.4682842422614542</v>
      </c>
    </row>
    <row r="1220" spans="2:11" x14ac:dyDescent="0.3">
      <c r="B1220" s="5" t="str">
        <f t="shared" si="770"/>
        <v>SPS3</v>
      </c>
      <c r="C1220" s="5" t="str">
        <f t="shared" si="773"/>
        <v>CH</v>
      </c>
      <c r="D1220" t="s">
        <v>1142</v>
      </c>
      <c r="E1220" t="str">
        <f t="shared" si="772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8.0662213819074569E-2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0.17522708703591808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0.17649749900852776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6.7608595130609771E-5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9.2035377506737681E-2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4.8188838905668441E-2</v>
      </c>
    </row>
    <row r="1221" spans="2:11" x14ac:dyDescent="0.3">
      <c r="B1221" s="5" t="str">
        <f t="shared" si="770"/>
        <v>SPS3</v>
      </c>
      <c r="C1221" s="5" t="str">
        <f t="shared" si="773"/>
        <v>CH</v>
      </c>
      <c r="D1221" t="s">
        <v>1143</v>
      </c>
      <c r="E1221" t="str">
        <f t="shared" si="772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1.6240672239868779E-5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9.9203715147365319E-3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1.1525719617384101E-2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2.3059681915737199E-5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1.1434392951931296E-2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7.6813024142314418E-3</v>
      </c>
    </row>
    <row r="1222" spans="2:11" x14ac:dyDescent="0.3">
      <c r="B1222" s="5" t="str">
        <f t="shared" si="770"/>
        <v>SPS3</v>
      </c>
      <c r="C1222" s="5" t="str">
        <f t="shared" si="773"/>
        <v>CH</v>
      </c>
      <c r="D1222" t="s">
        <v>1144</v>
      </c>
      <c r="E1222" t="str">
        <f t="shared" si="772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1.1620052498730392E-5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3.0468089235096145E-3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1.2897556830675321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2.2791900178696472E-5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1.4244893239222982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0.4310794720197702</v>
      </c>
    </row>
    <row r="1223" spans="2:11" x14ac:dyDescent="0.3">
      <c r="B1223" s="5" t="str">
        <f t="shared" si="770"/>
        <v>SPS3</v>
      </c>
      <c r="C1223" s="5" t="str">
        <f t="shared" si="773"/>
        <v>CH</v>
      </c>
      <c r="D1223" t="s">
        <v>1145</v>
      </c>
      <c r="E1223" t="str">
        <f t="shared" si="772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1.0766474485396058E-4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2.3498191402764866E-3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7.0552176515919782E-3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8.1208036386351979E-5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3.0202360231527972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5.8968935793776343</v>
      </c>
    </row>
    <row r="1224" spans="2:11" x14ac:dyDescent="0.3">
      <c r="B1224" s="5" t="str">
        <f t="shared" si="770"/>
        <v>SPS3</v>
      </c>
      <c r="C1224" s="5" t="str">
        <f t="shared" si="773"/>
        <v>CH</v>
      </c>
      <c r="D1224" t="s">
        <v>1146</v>
      </c>
      <c r="E1224" t="str">
        <f t="shared" si="772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2.9542956487576357E-3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0.49935570943661378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0.49268292178128881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5.8165901689792591E-5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7.2935975183463092E-2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4.3362353382023447E-2</v>
      </c>
    </row>
    <row r="1225" spans="2:11" x14ac:dyDescent="0.3">
      <c r="B1225" s="5" t="str">
        <f t="shared" si="770"/>
        <v>SPS3</v>
      </c>
      <c r="C1225" s="5" t="str">
        <f t="shared" si="773"/>
        <v>CH</v>
      </c>
      <c r="D1225" t="s">
        <v>1147</v>
      </c>
      <c r="E1225" t="str">
        <f t="shared" si="772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1.9164889454276426E-4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5.4467924838600247E-4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0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3.0843506412688544E-3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2.2582779731995521E-3</v>
      </c>
    </row>
    <row r="1226" spans="2:11" x14ac:dyDescent="0.3">
      <c r="B1226" s="5" t="str">
        <f t="shared" si="770"/>
        <v>SPS3</v>
      </c>
      <c r="C1226" s="5" t="str">
        <f t="shared" si="773"/>
        <v>CH</v>
      </c>
      <c r="D1226" t="s">
        <v>1148</v>
      </c>
      <c r="E1226" t="str">
        <f t="shared" si="772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9.8353750372409064E-5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2.6706816840116267E-4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5.2064919310351114E-4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0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1.7480973014317876E-3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2.3603022784080309E-3</v>
      </c>
    </row>
    <row r="1227" spans="2:11" x14ac:dyDescent="0.3">
      <c r="B1227" s="5" t="str">
        <f t="shared" si="770"/>
        <v>SPS3</v>
      </c>
      <c r="C1227" s="5" t="str">
        <f t="shared" si="773"/>
        <v>CH</v>
      </c>
      <c r="D1227" t="s">
        <v>1149</v>
      </c>
      <c r="E1227" t="str">
        <f t="shared" si="772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6.905360074473091E-4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1.1461012944286853E-3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1.1925240012793229E-3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0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1.5393465122187483E-3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3.0561927864171294E-3</v>
      </c>
    </row>
    <row r="1228" spans="2:11" x14ac:dyDescent="0.3">
      <c r="B1228" s="5" t="str">
        <f t="shared" si="770"/>
        <v>SPS3</v>
      </c>
      <c r="C1228" s="5" t="str">
        <f t="shared" si="773"/>
        <v>CH</v>
      </c>
      <c r="D1228" t="s">
        <v>1150</v>
      </c>
      <c r="E1228" t="str">
        <f t="shared" si="772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2.2199443132890352E-4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4.4089179344118824E-4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0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2.0186810959783026E-3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0.1578355817838796</v>
      </c>
    </row>
    <row r="1229" spans="2:11" x14ac:dyDescent="0.3">
      <c r="B1229" s="5" t="str">
        <f t="shared" si="770"/>
        <v>SPS3</v>
      </c>
      <c r="C1229" s="5" t="str">
        <f t="shared" si="773"/>
        <v>CH</v>
      </c>
      <c r="D1229" t="s">
        <v>1234</v>
      </c>
      <c r="E1229" t="str">
        <f t="shared" si="772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0.6192712321776187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0.62769975847157344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7.2229117947677525E-6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1.3160542117870271E-5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3">
      <c r="B1230" s="5" t="str">
        <f t="shared" si="770"/>
        <v>SPS3</v>
      </c>
      <c r="C1230" s="5" t="str">
        <f t="shared" si="773"/>
        <v>CH</v>
      </c>
      <c r="D1230" t="s">
        <v>1151</v>
      </c>
      <c r="E1230" t="str">
        <f t="shared" si="772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4.8248694213918406E-2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2.6630236076416666E-3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4.7584520112644546E-5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0.86606927780884657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0.1841261359776383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9.2160696296329694E-4</v>
      </c>
    </row>
    <row r="1231" spans="2:11" x14ac:dyDescent="0.3">
      <c r="B1231" s="5" t="str">
        <f t="shared" si="770"/>
        <v>SPS3</v>
      </c>
      <c r="C1231" s="5" t="str">
        <f t="shared" si="773"/>
        <v>CH</v>
      </c>
      <c r="D1231" t="s">
        <v>1152</v>
      </c>
      <c r="E1231" t="str">
        <f t="shared" si="772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0.10946087875602921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3.8289737381763007E-3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6.2769801534280851E-4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5.9446100860518198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1.7316620195118315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1.6320154927266697E-3</v>
      </c>
    </row>
    <row r="1232" spans="2:11" x14ac:dyDescent="0.3">
      <c r="B1232" s="5" t="str">
        <f t="shared" si="770"/>
        <v>SPS3</v>
      </c>
      <c r="C1232" s="5" t="str">
        <f t="shared" si="773"/>
        <v>CH</v>
      </c>
      <c r="D1232" t="s">
        <v>1153</v>
      </c>
      <c r="E1232" t="str">
        <f t="shared" si="772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0.18083594781309065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2.9516725796345717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4.2985890827694035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10.421352489032607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2.389439883036546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1.2206234707522357E-3</v>
      </c>
    </row>
    <row r="1233" spans="2:11" x14ac:dyDescent="0.3">
      <c r="B1233" s="5" t="str">
        <f t="shared" si="770"/>
        <v>SPS3</v>
      </c>
      <c r="C1233" s="5" t="str">
        <f t="shared" si="773"/>
        <v>CH</v>
      </c>
      <c r="D1233" t="s">
        <v>1154</v>
      </c>
      <c r="E1233" t="str">
        <f t="shared" si="772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9.9336987030205812E-2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5.8887448602921243E-2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3.404671748292534E-4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7.5794130339851797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2.1983671221174692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1.3196608997542382E-3</v>
      </c>
    </row>
    <row r="1234" spans="2:11" x14ac:dyDescent="0.3">
      <c r="B1234" s="5" t="str">
        <f t="shared" si="770"/>
        <v>SPS3</v>
      </c>
      <c r="C1234" s="5" t="str">
        <f t="shared" si="773"/>
        <v>CH</v>
      </c>
      <c r="D1234" t="s">
        <v>1155</v>
      </c>
      <c r="E1234" t="str">
        <f t="shared" si="772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18.302999409740348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17.131432645710426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14.503593538657361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3.1978160463785065E-6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3">
      <c r="B1235" s="5" t="str">
        <f t="shared" si="770"/>
        <v>SPS3</v>
      </c>
      <c r="C1235" s="5" t="str">
        <f t="shared" si="773"/>
        <v>CH</v>
      </c>
      <c r="D1235" t="s">
        <v>1156</v>
      </c>
      <c r="E1235" t="str">
        <f t="shared" si="772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0.30360322665182948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0.37230443062173485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0.97306776793528027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6.269328854375622E-2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1.6055492206253513E-3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4.7335209772986198E-4</v>
      </c>
    </row>
    <row r="1236" spans="2:11" x14ac:dyDescent="0.3">
      <c r="B1236" s="5" t="str">
        <f t="shared" si="770"/>
        <v>SPS3</v>
      </c>
      <c r="C1236" s="5" t="str">
        <f t="shared" si="773"/>
        <v>CH</v>
      </c>
      <c r="D1236" t="s">
        <v>1157</v>
      </c>
      <c r="E1236" t="str">
        <f t="shared" si="772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2.0747529448609736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3.2081195812579697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4.6385857292590877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0.47683258424747771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2.9062423435509514E-3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8.5755306741358225E-4</v>
      </c>
    </row>
    <row r="1237" spans="2:11" x14ac:dyDescent="0.3">
      <c r="B1237" s="5" t="str">
        <f t="shared" si="770"/>
        <v>SPS3</v>
      </c>
      <c r="C1237" s="5" t="str">
        <f t="shared" si="773"/>
        <v>CH</v>
      </c>
      <c r="D1237" t="s">
        <v>1158</v>
      </c>
      <c r="E1237" t="str">
        <f t="shared" si="772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1.8476212364941189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2.9295957292748649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2.8765272197261917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3.3284206134482166E-4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2.3947804056545538E-3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6.9245299644696983E-4</v>
      </c>
    </row>
    <row r="1238" spans="2:11" x14ac:dyDescent="0.3">
      <c r="B1238" s="5" t="str">
        <f t="shared" si="770"/>
        <v>SPS3</v>
      </c>
      <c r="C1238" s="5" t="str">
        <f t="shared" si="773"/>
        <v>CH</v>
      </c>
      <c r="D1238" t="s">
        <v>1159</v>
      </c>
      <c r="E1238" t="str">
        <f t="shared" si="772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1.447254160234194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2.2767312476262429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3.24369834871167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1.0230794505247347E-4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7.8476142559081117E-3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2.297370172204737E-3</v>
      </c>
    </row>
    <row r="1239" spans="2:11" x14ac:dyDescent="0.3">
      <c r="B1239" s="5" t="str">
        <f t="shared" si="770"/>
        <v>SPS3</v>
      </c>
      <c r="C1239" s="5" t="str">
        <f t="shared" si="773"/>
        <v>CH</v>
      </c>
      <c r="D1239" t="s">
        <v>1160</v>
      </c>
      <c r="E1239" t="str">
        <f t="shared" si="772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1.2784313039340353E-5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2.3018283093523133E-5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1.9427484658473702E-4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1.481593084158614E-4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2.82507870619558E-5</v>
      </c>
    </row>
    <row r="1240" spans="2:11" x14ac:dyDescent="0.3">
      <c r="B1240" s="5" t="str">
        <f t="shared" si="770"/>
        <v>SPS3</v>
      </c>
      <c r="C1240" s="5" t="str">
        <f t="shared" si="773"/>
        <v>CH</v>
      </c>
      <c r="D1240" t="s">
        <v>1161</v>
      </c>
      <c r="E1240" t="str">
        <f t="shared" si="772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1.2952998448830555E-5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2.6378348114679587E-5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6.3589133344415768E-5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1.2005257948353996E-4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4.4664713603837152E-5</v>
      </c>
    </row>
    <row r="1241" spans="2:11" x14ac:dyDescent="0.3">
      <c r="B1241" s="5" t="str">
        <f t="shared" si="770"/>
        <v>SPS3</v>
      </c>
      <c r="C1241" s="5" t="str">
        <f t="shared" si="773"/>
        <v>CH</v>
      </c>
      <c r="D1241" t="s">
        <v>1162</v>
      </c>
      <c r="E1241" t="str">
        <f t="shared" si="772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1.1852324366776561E-5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2.8039082063141317E-5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6.2542815412191543E-5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1.2682612215248886E-4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4.9274459754823204E-5</v>
      </c>
    </row>
    <row r="1242" spans="2:11" x14ac:dyDescent="0.3">
      <c r="B1242" s="5" t="str">
        <f t="shared" si="770"/>
        <v>SPS3</v>
      </c>
      <c r="C1242" s="5" t="str">
        <f t="shared" si="773"/>
        <v>CH</v>
      </c>
      <c r="D1242" t="s">
        <v>1163</v>
      </c>
      <c r="E1242" t="str">
        <f t="shared" si="772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1.3460160194802796E-5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2.5893825344891895E-5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7.8661273934146062E-5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1.247851062282735E-4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4.2786191458722533E-5</v>
      </c>
    </row>
    <row r="1243" spans="2:11" x14ac:dyDescent="0.3">
      <c r="B1243" s="5" t="str">
        <f t="shared" si="770"/>
        <v>SPS3</v>
      </c>
      <c r="C1243" s="5" t="str">
        <f t="shared" si="773"/>
        <v>CH</v>
      </c>
      <c r="D1243" t="s">
        <v>1236</v>
      </c>
      <c r="E1243" t="str">
        <f t="shared" si="772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3">
      <c r="B1244" s="5" t="str">
        <f t="shared" si="770"/>
        <v>SPS3</v>
      </c>
      <c r="C1244" s="5" t="str">
        <f t="shared" si="773"/>
        <v>CH</v>
      </c>
      <c r="D1244" t="s">
        <v>1164</v>
      </c>
      <c r="E1244" t="str">
        <f t="shared" si="772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1.6955638830564866E-5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1.1864704484093243E-4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3.3963672046014819E-5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1.321798116434479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0.18974059876466795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8.4430424642379515E-4</v>
      </c>
    </row>
    <row r="1245" spans="2:11" x14ac:dyDescent="0.3">
      <c r="B1245" s="5" t="str">
        <f t="shared" si="770"/>
        <v>SPS3</v>
      </c>
      <c r="C1245" s="5" t="str">
        <f t="shared" si="773"/>
        <v>CH</v>
      </c>
      <c r="D1245" t="s">
        <v>1165</v>
      </c>
      <c r="E1245" t="str">
        <f t="shared" si="772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3.0913919501506402E-3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2.2752800266292144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2.1523777150693038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11.600844331962795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2.8720074735241048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1.3879182284381472E-3</v>
      </c>
    </row>
    <row r="1246" spans="2:11" x14ac:dyDescent="0.3">
      <c r="B1246" s="5" t="str">
        <f t="shared" si="770"/>
        <v>SPS3</v>
      </c>
      <c r="C1246" s="5" t="str">
        <f t="shared" si="773"/>
        <v>CH</v>
      </c>
      <c r="D1246" t="s">
        <v>1166</v>
      </c>
      <c r="E1246" t="str">
        <f t="shared" si="772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2.382063342300399E-2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0.80744682304062643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0.76219251885316408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4.1637689708101062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1.428891032001901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1.0366985370760763E-3</v>
      </c>
    </row>
    <row r="1247" spans="2:11" x14ac:dyDescent="0.3">
      <c r="B1247" s="5" t="str">
        <f t="shared" si="770"/>
        <v>SPS3</v>
      </c>
      <c r="C1247" s="5" t="str">
        <f t="shared" si="773"/>
        <v>CH</v>
      </c>
      <c r="D1247" t="s">
        <v>1167</v>
      </c>
      <c r="E1247" t="str">
        <f t="shared" si="772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4.6087847876054557E-2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9.1829847522413591E-2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8.6254852255026063E-2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0.23032867779654667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4.8814268881357155E-2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1.1259720933299571E-3</v>
      </c>
    </row>
    <row r="1248" spans="2:11" x14ac:dyDescent="0.3">
      <c r="B1248" s="5" t="str">
        <f t="shared" si="770"/>
        <v>SPS3</v>
      </c>
      <c r="C1248" s="5" t="str">
        <f t="shared" si="773"/>
        <v>CH</v>
      </c>
      <c r="D1248" t="s">
        <v>1168</v>
      </c>
      <c r="E1248" t="str">
        <f t="shared" si="772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18.808310575136847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17.23596168618262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12.39447224946951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3.933840013826371E-6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3">
      <c r="B1249" s="5" t="str">
        <f t="shared" si="770"/>
        <v>SPS3</v>
      </c>
      <c r="C1249" s="5" t="str">
        <f t="shared" si="773"/>
        <v>CH</v>
      </c>
      <c r="D1249" t="s">
        <v>1169</v>
      </c>
      <c r="E1249" t="str">
        <f t="shared" si="772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3.7114553197204413E-3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4.7629155652500537E-3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7.9430284130067447E-3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8.5657389192177332E-4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7.8986159826557943E-4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2.3143021427145526E-4</v>
      </c>
    </row>
    <row r="1250" spans="2:11" x14ac:dyDescent="0.3">
      <c r="B1250" s="5" t="str">
        <f t="shared" si="770"/>
        <v>SPS3</v>
      </c>
      <c r="C1250" s="5" t="str">
        <f t="shared" si="773"/>
        <v>CH</v>
      </c>
      <c r="D1250" t="s">
        <v>1170</v>
      </c>
      <c r="E1250" t="str">
        <f t="shared" si="772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0.83665676065798911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0.90354348332705225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0.89810886890774988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0.37586164863220262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9.841653449082664E-4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2.8707755261908857E-4</v>
      </c>
    </row>
    <row r="1251" spans="2:11" x14ac:dyDescent="0.3">
      <c r="B1251" s="5" t="str">
        <f t="shared" si="770"/>
        <v>SPS3</v>
      </c>
      <c r="C1251" s="5" t="str">
        <f t="shared" si="773"/>
        <v>CH</v>
      </c>
      <c r="D1251" t="s">
        <v>1171</v>
      </c>
      <c r="E1251" t="str">
        <f t="shared" si="772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2.3248710025329706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2.8265626172316134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2.5447703965814119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1.4311837705870869E-4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9.3566531941392968E-4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2.7082299825524815E-4</v>
      </c>
    </row>
    <row r="1252" spans="2:11" x14ac:dyDescent="0.3">
      <c r="B1252" s="5" t="str">
        <f t="shared" si="770"/>
        <v>SPS3</v>
      </c>
      <c r="C1252" s="5" t="str">
        <f t="shared" si="773"/>
        <v>CH</v>
      </c>
      <c r="D1252" t="s">
        <v>1172</v>
      </c>
      <c r="E1252" t="str">
        <f t="shared" si="772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0.89628937605243308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1.0073765040480656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0.99167128944912253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5.69916160719993E-5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8.1439471366540343E-4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2.3873767376973655E-4</v>
      </c>
    </row>
    <row r="1253" spans="2:11" x14ac:dyDescent="0.3">
      <c r="B1253" s="5" t="str">
        <f t="shared" si="770"/>
        <v>SPS3</v>
      </c>
      <c r="C1253" s="5" t="str">
        <f t="shared" si="773"/>
        <v>CH</v>
      </c>
      <c r="D1253" t="s">
        <v>1173</v>
      </c>
      <c r="E1253" t="str">
        <f t="shared" si="772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1.2749358966871462E-5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2.2685240562119101E-5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1.3096679484692652E-4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1.1700710841327105E-4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2.7515503214115783E-5</v>
      </c>
    </row>
    <row r="1254" spans="2:11" x14ac:dyDescent="0.3">
      <c r="B1254" s="5" t="str">
        <f t="shared" si="770"/>
        <v>SPS3</v>
      </c>
      <c r="C1254" s="5" t="str">
        <f t="shared" si="773"/>
        <v>CH</v>
      </c>
      <c r="D1254" t="s">
        <v>1174</v>
      </c>
      <c r="E1254" t="str">
        <f t="shared" si="772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1.4302899392421856E-5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2.5887208338699125E-5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5.5762859105486077E-5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1.1195597568176742E-4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4.2767288590944421E-5</v>
      </c>
    </row>
    <row r="1255" spans="2:11" x14ac:dyDescent="0.3">
      <c r="B1255" s="5" t="str">
        <f t="shared" si="770"/>
        <v>SPS3</v>
      </c>
      <c r="C1255" s="5" t="str">
        <f t="shared" si="773"/>
        <v>CH</v>
      </c>
      <c r="D1255" t="s">
        <v>1175</v>
      </c>
      <c r="E1255" t="str">
        <f t="shared" si="772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1.2063275916626037E-5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2.8042963866029695E-5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5.5990708843687703E-5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1.1821493353749201E-4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4.6963162782118288E-5</v>
      </c>
    </row>
    <row r="1256" spans="2:11" x14ac:dyDescent="0.3">
      <c r="B1256" s="5" t="str">
        <f t="shared" si="770"/>
        <v>SPS3</v>
      </c>
      <c r="C1256" s="5" t="str">
        <f t="shared" si="773"/>
        <v>CH</v>
      </c>
      <c r="D1256" t="s">
        <v>1176</v>
      </c>
      <c r="E1256" t="str">
        <f t="shared" si="772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1.2673690164365828E-5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2.4317307285224224E-5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4.7002425989922605E-5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1.0419372760030001E-4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4.054605233849938E-5</v>
      </c>
    </row>
    <row r="1257" spans="2:11" x14ac:dyDescent="0.3">
      <c r="B1257" s="5" t="str">
        <f t="shared" si="770"/>
        <v>SPS3</v>
      </c>
      <c r="C1257" s="5" t="str">
        <f t="shared" si="773"/>
        <v>CH</v>
      </c>
      <c r="D1257" t="s">
        <v>1177</v>
      </c>
      <c r="E1257" t="str">
        <f t="shared" si="772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3">
      <c r="B1258" s="5" t="str">
        <f t="shared" si="770"/>
        <v>SPS3</v>
      </c>
      <c r="C1258" s="5" t="str">
        <f t="shared" si="773"/>
        <v>CH</v>
      </c>
      <c r="D1258" t="s">
        <v>1178</v>
      </c>
      <c r="E1258" t="str">
        <f t="shared" si="772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2.1371664369988618E-3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2.062829196289701E-3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2.0327002850434057E-3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1.5484546059772166E-4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4.2106717715995111E-4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1.2228960161295805E-4</v>
      </c>
    </row>
    <row r="1259" spans="2:11" x14ac:dyDescent="0.3">
      <c r="B1259" s="5" t="str">
        <f t="shared" si="770"/>
        <v>SPS3</v>
      </c>
      <c r="C1259" s="5" t="str">
        <f t="shared" si="773"/>
        <v>CH</v>
      </c>
      <c r="D1259" t="s">
        <v>1179</v>
      </c>
      <c r="E1259" t="str">
        <f t="shared" si="772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3.3199800795169251E-2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3.5748552053112746E-2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3.6084206403912071E-2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4.8313589355144848E-4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7.2699330431686185E-4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2.1216038179146715E-4</v>
      </c>
    </row>
    <row r="1260" spans="2:11" x14ac:dyDescent="0.3">
      <c r="B1260" s="5" t="str">
        <f t="shared" si="770"/>
        <v>SPS3</v>
      </c>
      <c r="C1260" s="5" t="str">
        <f t="shared" si="773"/>
        <v>CH</v>
      </c>
      <c r="D1260" t="s">
        <v>1180</v>
      </c>
      <c r="E1260" t="str">
        <f t="shared" si="772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2.0097143939946313E-3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2.1202523045612473E-3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2.4609745082442322E-3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2.5277597116789486E-4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9.3162560393649679E-4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2.6573387416298276E-4</v>
      </c>
    </row>
    <row r="1261" spans="2:11" x14ac:dyDescent="0.3">
      <c r="B1261" s="5" t="str">
        <f t="shared" si="770"/>
        <v>SPS3</v>
      </c>
      <c r="C1261" s="5" t="str">
        <f t="shared" si="773"/>
        <v>CH</v>
      </c>
      <c r="D1261" t="s">
        <v>1181</v>
      </c>
      <c r="E1261" t="str">
        <f t="shared" si="772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3.2333738612070173E-2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3.2291325028775998E-2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3.1082854229067293E-2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4.5397789780689283E-3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9.8440289805776086E-4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2.8389941806561343E-4</v>
      </c>
    </row>
    <row r="1262" spans="2:11" x14ac:dyDescent="0.3">
      <c r="B1262" s="5" t="str">
        <f t="shared" si="770"/>
        <v>SPS3</v>
      </c>
      <c r="C1262" s="5" t="str">
        <f t="shared" si="773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3">
      <c r="B1263" s="5" t="str">
        <f t="shared" si="770"/>
        <v>SPS3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774">IFERROR(F1212/F1136,"-")</f>
        <v>0.88951199431361427</v>
      </c>
      <c r="G1263" s="1">
        <f t="shared" si="774"/>
        <v>0.95694536964701837</v>
      </c>
      <c r="H1263" s="1">
        <f t="shared" si="774"/>
        <v>1.0580954326471266</v>
      </c>
      <c r="I1263" s="1">
        <f t="shared" si="774"/>
        <v>1.2266788709806389</v>
      </c>
      <c r="J1263" s="1" t="str">
        <f t="shared" si="774"/>
        <v>-</v>
      </c>
      <c r="K1263" s="1" t="str">
        <f t="shared" si="774"/>
        <v>-</v>
      </c>
    </row>
    <row r="1264" spans="2:11" x14ac:dyDescent="0.3">
      <c r="B1264" s="5" t="str">
        <f t="shared" si="770"/>
        <v>SPS3</v>
      </c>
      <c r="C1264" s="5" t="str">
        <f t="shared" ref="C1264:C1312" si="775">C1263</f>
        <v>CH</v>
      </c>
      <c r="D1264" t="s">
        <v>1183</v>
      </c>
      <c r="E1264" t="str">
        <f t="shared" ref="E1264:E1312" si="776">E1263</f>
        <v>km/MJ</v>
      </c>
      <c r="F1264" s="1">
        <f t="shared" si="774"/>
        <v>1.8116719735064504</v>
      </c>
      <c r="G1264" s="1">
        <f t="shared" si="774"/>
        <v>1.8116719735064497</v>
      </c>
      <c r="H1264" s="1">
        <f t="shared" si="774"/>
        <v>1.8116719735064484</v>
      </c>
      <c r="I1264" s="1">
        <f t="shared" si="774"/>
        <v>1.8116719735064495</v>
      </c>
      <c r="J1264" s="1">
        <f t="shared" si="774"/>
        <v>1.9509551658288662</v>
      </c>
      <c r="K1264" s="1">
        <f t="shared" si="774"/>
        <v>2.1145929289059886</v>
      </c>
    </row>
    <row r="1265" spans="2:11" x14ac:dyDescent="0.3">
      <c r="B1265" s="5" t="str">
        <f t="shared" si="770"/>
        <v>SPS3</v>
      </c>
      <c r="C1265" s="5" t="str">
        <f t="shared" si="775"/>
        <v>CH</v>
      </c>
      <c r="D1265" t="s">
        <v>1184</v>
      </c>
      <c r="E1265" t="str">
        <f t="shared" si="776"/>
        <v>km/MJ</v>
      </c>
      <c r="F1265" s="1">
        <f t="shared" si="774"/>
        <v>1.4637982671179706</v>
      </c>
      <c r="G1265" s="1">
        <f t="shared" si="774"/>
        <v>1.4637982671179726</v>
      </c>
      <c r="H1265" s="1">
        <f t="shared" si="774"/>
        <v>1.463798267117969</v>
      </c>
      <c r="I1265" s="1">
        <f t="shared" si="774"/>
        <v>1.4637982671179697</v>
      </c>
      <c r="J1265" s="1">
        <f t="shared" si="774"/>
        <v>1.5948855347792847</v>
      </c>
      <c r="K1265" s="1">
        <f t="shared" si="774"/>
        <v>1.7390865308592376</v>
      </c>
    </row>
    <row r="1266" spans="2:11" x14ac:dyDescent="0.3">
      <c r="B1266" s="5" t="str">
        <f t="shared" si="770"/>
        <v>SPS3</v>
      </c>
      <c r="C1266" s="5" t="str">
        <f t="shared" si="775"/>
        <v>CH</v>
      </c>
      <c r="D1266" t="s">
        <v>1185</v>
      </c>
      <c r="E1266" t="str">
        <f t="shared" si="776"/>
        <v>km/MJ</v>
      </c>
      <c r="F1266" s="1">
        <f t="shared" si="774"/>
        <v>1.3374527251491986</v>
      </c>
      <c r="G1266" s="1">
        <f t="shared" si="774"/>
        <v>1.3374527251491981</v>
      </c>
      <c r="H1266" s="1">
        <f t="shared" si="774"/>
        <v>1.3374527251491988</v>
      </c>
      <c r="I1266" s="1">
        <f t="shared" si="774"/>
        <v>1.3374527251491988</v>
      </c>
      <c r="J1266" s="1">
        <f t="shared" si="774"/>
        <v>1.3538246591867069</v>
      </c>
      <c r="K1266" s="1">
        <f t="shared" si="774"/>
        <v>1.6122140578924546</v>
      </c>
    </row>
    <row r="1267" spans="2:11" x14ac:dyDescent="0.3">
      <c r="B1267" s="5" t="str">
        <f t="shared" si="770"/>
        <v>SPS3</v>
      </c>
      <c r="C1267" s="5" t="str">
        <f t="shared" si="775"/>
        <v>CH</v>
      </c>
      <c r="D1267" t="s">
        <v>1186</v>
      </c>
      <c r="E1267" t="str">
        <f t="shared" si="776"/>
        <v>km/MJ</v>
      </c>
      <c r="F1267" s="1">
        <f t="shared" si="774"/>
        <v>1.2949729235430809</v>
      </c>
      <c r="G1267" s="1">
        <f t="shared" si="774"/>
        <v>1.2949729235430809</v>
      </c>
      <c r="H1267" s="1">
        <f t="shared" si="774"/>
        <v>1.2949729235430796</v>
      </c>
      <c r="I1267" s="1">
        <f t="shared" si="774"/>
        <v>1.294972923543078</v>
      </c>
      <c r="J1267" s="1">
        <f t="shared" si="774"/>
        <v>1.3943496709593883</v>
      </c>
      <c r="K1267" s="1">
        <f t="shared" si="774"/>
        <v>1.5184221306766883</v>
      </c>
    </row>
    <row r="1268" spans="2:11" x14ac:dyDescent="0.3">
      <c r="B1268" s="5" t="str">
        <f t="shared" ref="B1268:B1331" si="777">B1267</f>
        <v>SPS3</v>
      </c>
      <c r="C1268" s="5" t="str">
        <f t="shared" si="775"/>
        <v>CH</v>
      </c>
      <c r="D1268" t="s">
        <v>1187</v>
      </c>
      <c r="E1268" t="str">
        <f t="shared" si="776"/>
        <v>km/MJ</v>
      </c>
      <c r="F1268" s="1">
        <f t="shared" ref="F1268:K1271" si="778">IFERROR(F1217/SUM(F1141,F1174),"-")</f>
        <v>0.70995624630009402</v>
      </c>
      <c r="G1268" s="1">
        <f t="shared" si="778"/>
        <v>0.76035985638812853</v>
      </c>
      <c r="H1268" s="1">
        <f t="shared" si="778"/>
        <v>0.77212792891529847</v>
      </c>
      <c r="I1268" s="1">
        <f t="shared" si="778"/>
        <v>0.62100587843041</v>
      </c>
      <c r="J1268" s="1">
        <f t="shared" si="778"/>
        <v>0.97125794570137836</v>
      </c>
      <c r="K1268" s="1">
        <f t="shared" si="778"/>
        <v>1.2012380936039881</v>
      </c>
    </row>
    <row r="1269" spans="2:11" x14ac:dyDescent="0.3">
      <c r="B1269" s="5" t="str">
        <f t="shared" si="777"/>
        <v>SPS3</v>
      </c>
      <c r="C1269" s="5" t="str">
        <f t="shared" si="775"/>
        <v>CH</v>
      </c>
      <c r="D1269" t="s">
        <v>1188</v>
      </c>
      <c r="E1269" t="str">
        <f t="shared" si="776"/>
        <v>km/MJ</v>
      </c>
      <c r="F1269" s="1">
        <f t="shared" si="778"/>
        <v>0.62747653180201135</v>
      </c>
      <c r="G1269" s="1">
        <f t="shared" si="778"/>
        <v>0.63142392977888639</v>
      </c>
      <c r="H1269" s="1">
        <f t="shared" si="778"/>
        <v>0.63333824604935551</v>
      </c>
      <c r="I1269" s="1">
        <f t="shared" si="778"/>
        <v>0.88298301189751072</v>
      </c>
      <c r="J1269" s="1">
        <f t="shared" si="778"/>
        <v>0.85710217526808297</v>
      </c>
      <c r="K1269" s="1">
        <f t="shared" si="778"/>
        <v>1.11674355957519</v>
      </c>
    </row>
    <row r="1270" spans="2:11" x14ac:dyDescent="0.3">
      <c r="B1270" s="5" t="str">
        <f t="shared" si="777"/>
        <v>SPS3</v>
      </c>
      <c r="C1270" s="5" t="str">
        <f t="shared" si="775"/>
        <v>CH</v>
      </c>
      <c r="D1270" t="s">
        <v>1189</v>
      </c>
      <c r="E1270" t="str">
        <f t="shared" si="776"/>
        <v>km/MJ</v>
      </c>
      <c r="F1270" s="1">
        <f t="shared" si="778"/>
        <v>0.54553593949140655</v>
      </c>
      <c r="G1270" s="1">
        <f t="shared" si="778"/>
        <v>0.55680737473445352</v>
      </c>
      <c r="H1270" s="1">
        <f t="shared" si="778"/>
        <v>0.57383969749053065</v>
      </c>
      <c r="I1270" s="1">
        <f t="shared" si="778"/>
        <v>0.99507568417853964</v>
      </c>
      <c r="J1270" s="1">
        <f t="shared" si="778"/>
        <v>0.8590350993383149</v>
      </c>
      <c r="K1270" s="1">
        <f t="shared" si="778"/>
        <v>1.1307885451092272</v>
      </c>
    </row>
    <row r="1271" spans="2:11" x14ac:dyDescent="0.3">
      <c r="B1271" s="5" t="str">
        <f t="shared" si="777"/>
        <v>SPS3</v>
      </c>
      <c r="C1271" s="5" t="str">
        <f t="shared" si="775"/>
        <v>CH</v>
      </c>
      <c r="D1271" t="s">
        <v>1190</v>
      </c>
      <c r="E1271" t="str">
        <f t="shared" si="776"/>
        <v>km/MJ</v>
      </c>
      <c r="F1271" s="1">
        <f t="shared" si="778"/>
        <v>0.51975568473666001</v>
      </c>
      <c r="G1271" s="1">
        <f t="shared" si="778"/>
        <v>0.57148322286795794</v>
      </c>
      <c r="H1271" s="1">
        <f t="shared" si="778"/>
        <v>0.58372430646602202</v>
      </c>
      <c r="I1271" s="1">
        <f t="shared" si="778"/>
        <v>0.719656948930261</v>
      </c>
      <c r="J1271" s="1">
        <f t="shared" si="778"/>
        <v>0.78822475794476043</v>
      </c>
      <c r="K1271" s="1">
        <f t="shared" si="778"/>
        <v>1.0091577180606435</v>
      </c>
    </row>
    <row r="1272" spans="2:11" x14ac:dyDescent="0.3">
      <c r="B1272" s="5" t="str">
        <f t="shared" si="777"/>
        <v>SPS3</v>
      </c>
      <c r="C1272" s="5" t="str">
        <f t="shared" si="775"/>
        <v>CH</v>
      </c>
      <c r="D1272" t="s">
        <v>1191</v>
      </c>
      <c r="E1272" t="str">
        <f t="shared" si="776"/>
        <v>km/MJ</v>
      </c>
      <c r="F1272" s="1">
        <f t="shared" ref="F1272:K1275" si="779">IFERROR(F1221/SUM(F1145,F1197),"-")</f>
        <v>0.72840569582556813</v>
      </c>
      <c r="G1272" s="1">
        <f t="shared" si="779"/>
        <v>0.77415609227167093</v>
      </c>
      <c r="H1272" s="1">
        <f t="shared" si="779"/>
        <v>0.786153394043142</v>
      </c>
      <c r="I1272" s="1">
        <f t="shared" si="779"/>
        <v>0.37383880330755564</v>
      </c>
      <c r="J1272" s="1">
        <f t="shared" si="779"/>
        <v>0.98622565646105198</v>
      </c>
      <c r="K1272" s="1">
        <f t="shared" si="779"/>
        <v>1.213448540355337</v>
      </c>
    </row>
    <row r="1273" spans="2:11" x14ac:dyDescent="0.3">
      <c r="B1273" s="5" t="str">
        <f t="shared" si="777"/>
        <v>SPS3</v>
      </c>
      <c r="C1273" s="5" t="str">
        <f t="shared" si="775"/>
        <v>CH</v>
      </c>
      <c r="D1273" t="s">
        <v>1192</v>
      </c>
      <c r="E1273" t="str">
        <f t="shared" si="776"/>
        <v>km/MJ</v>
      </c>
      <c r="F1273" s="1">
        <f t="shared" si="779"/>
        <v>0.18742064831776453</v>
      </c>
      <c r="G1273" s="1">
        <f t="shared" si="779"/>
        <v>0.63813903319719911</v>
      </c>
      <c r="H1273" s="1">
        <f t="shared" si="779"/>
        <v>0.60575325222684162</v>
      </c>
      <c r="I1273" s="1">
        <f t="shared" si="779"/>
        <v>0.44286643798545144</v>
      </c>
      <c r="J1273" s="1">
        <f t="shared" si="779"/>
        <v>0.83779717813361332</v>
      </c>
      <c r="K1273" s="1">
        <f t="shared" si="779"/>
        <v>1.1258044940956584</v>
      </c>
    </row>
    <row r="1274" spans="2:11" x14ac:dyDescent="0.3">
      <c r="B1274" s="5" t="str">
        <f t="shared" si="777"/>
        <v>SPS3</v>
      </c>
      <c r="C1274" s="5" t="str">
        <f t="shared" si="775"/>
        <v>CH</v>
      </c>
      <c r="D1274" t="s">
        <v>1193</v>
      </c>
      <c r="E1274" t="str">
        <f t="shared" si="776"/>
        <v>km/MJ</v>
      </c>
      <c r="F1274" s="1">
        <f t="shared" si="779"/>
        <v>0.55280831355365112</v>
      </c>
      <c r="G1274" s="1">
        <f t="shared" si="779"/>
        <v>0.60979873300842735</v>
      </c>
      <c r="H1274" s="1">
        <f t="shared" si="779"/>
        <v>0.6234724215218963</v>
      </c>
      <c r="I1274" s="1">
        <f t="shared" si="779"/>
        <v>0.76610303867771279</v>
      </c>
      <c r="J1274" s="1">
        <f t="shared" si="779"/>
        <v>0.86758584902997615</v>
      </c>
      <c r="K1274" s="1">
        <f t="shared" si="779"/>
        <v>1.138662292876222</v>
      </c>
    </row>
    <row r="1275" spans="2:11" x14ac:dyDescent="0.3">
      <c r="B1275" s="5" t="str">
        <f t="shared" si="777"/>
        <v>SPS3</v>
      </c>
      <c r="C1275" s="5" t="str">
        <f t="shared" si="775"/>
        <v>CH</v>
      </c>
      <c r="D1275" t="s">
        <v>1194</v>
      </c>
      <c r="E1275" t="str">
        <f t="shared" si="776"/>
        <v>km/MJ</v>
      </c>
      <c r="F1275" s="1">
        <f t="shared" si="779"/>
        <v>0.52694417972798169</v>
      </c>
      <c r="G1275" s="1">
        <f t="shared" si="779"/>
        <v>0.57892265140569943</v>
      </c>
      <c r="H1275" s="1">
        <f t="shared" si="779"/>
        <v>0.59119727951022139</v>
      </c>
      <c r="I1275" s="1">
        <f t="shared" si="779"/>
        <v>0.67140623774220376</v>
      </c>
      <c r="J1275" s="1">
        <f t="shared" si="779"/>
        <v>0.79434537927753746</v>
      </c>
      <c r="K1275" s="1">
        <f t="shared" si="779"/>
        <v>1.0136982686086906</v>
      </c>
    </row>
    <row r="1276" spans="2:11" x14ac:dyDescent="0.3">
      <c r="B1276" s="5" t="str">
        <f t="shared" si="777"/>
        <v>SPS3</v>
      </c>
      <c r="C1276" s="5" t="str">
        <f t="shared" si="775"/>
        <v>CH</v>
      </c>
      <c r="D1276" t="s">
        <v>1195</v>
      </c>
      <c r="E1276" t="str">
        <f t="shared" si="776"/>
        <v>km/MJ</v>
      </c>
      <c r="F1276" s="1" t="str">
        <f>IFERROR(F1225/F1151,"-")</f>
        <v>-</v>
      </c>
      <c r="G1276" s="1">
        <f t="shared" ref="G1276:K1276" si="780">IFERROR(G1225/G1151,"-")</f>
        <v>1.0965696656165185</v>
      </c>
      <c r="H1276" s="1">
        <f t="shared" si="780"/>
        <v>1.0965696656165198</v>
      </c>
      <c r="I1276" s="1" t="str">
        <f t="shared" si="780"/>
        <v>-</v>
      </c>
      <c r="J1276" s="1">
        <f t="shared" si="780"/>
        <v>1.1814235543607208</v>
      </c>
      <c r="K1276" s="1">
        <f t="shared" si="780"/>
        <v>1.2909852194518983</v>
      </c>
    </row>
    <row r="1277" spans="2:11" x14ac:dyDescent="0.3">
      <c r="B1277" s="5" t="str">
        <f t="shared" si="777"/>
        <v>SPS3</v>
      </c>
      <c r="C1277" s="5" t="str">
        <f t="shared" si="775"/>
        <v>CH</v>
      </c>
      <c r="D1277" t="s">
        <v>1196</v>
      </c>
      <c r="E1277" t="str">
        <f t="shared" si="776"/>
        <v>km/MJ</v>
      </c>
      <c r="F1277" s="1">
        <f t="shared" ref="F1277:K1277" si="781">IFERROR(F1226/F1152,"-")</f>
        <v>0.89149519806162181</v>
      </c>
      <c r="G1277" s="1">
        <f t="shared" si="781"/>
        <v>0.89149519806162159</v>
      </c>
      <c r="H1277" s="1">
        <f t="shared" si="781"/>
        <v>0.89149519806162125</v>
      </c>
      <c r="I1277" s="1" t="str">
        <f t="shared" si="781"/>
        <v>-</v>
      </c>
      <c r="J1277" s="1">
        <f t="shared" si="781"/>
        <v>0.97812182335008235</v>
      </c>
      <c r="K1277" s="1">
        <f t="shared" si="781"/>
        <v>1.091937531549559</v>
      </c>
    </row>
    <row r="1278" spans="2:11" x14ac:dyDescent="0.3">
      <c r="B1278" s="5" t="str">
        <f t="shared" si="777"/>
        <v>SPS3</v>
      </c>
      <c r="C1278" s="5" t="str">
        <f t="shared" si="775"/>
        <v>CH</v>
      </c>
      <c r="D1278" t="s">
        <v>1197</v>
      </c>
      <c r="E1278" t="str">
        <f t="shared" si="776"/>
        <v>km/MJ</v>
      </c>
      <c r="F1278" s="1">
        <f t="shared" ref="F1278:K1278" si="782">IFERROR(F1227/F1153,"-")</f>
        <v>0.83000507256490619</v>
      </c>
      <c r="G1278" s="1">
        <f t="shared" si="782"/>
        <v>0.83000507256490574</v>
      </c>
      <c r="H1278" s="1">
        <f t="shared" si="782"/>
        <v>0.8300050725649043</v>
      </c>
      <c r="I1278" s="1" t="str">
        <f t="shared" si="782"/>
        <v>-</v>
      </c>
      <c r="J1278" s="1">
        <f t="shared" si="782"/>
        <v>0.91535972617211669</v>
      </c>
      <c r="K1278" s="1">
        <f t="shared" si="782"/>
        <v>1.032957025946478</v>
      </c>
    </row>
    <row r="1279" spans="2:11" x14ac:dyDescent="0.3">
      <c r="B1279" s="5" t="str">
        <f t="shared" si="777"/>
        <v>SPS3</v>
      </c>
      <c r="C1279" s="5" t="str">
        <f t="shared" si="775"/>
        <v>CH</v>
      </c>
      <c r="D1279" t="s">
        <v>1198</v>
      </c>
      <c r="E1279" t="str">
        <f t="shared" si="776"/>
        <v>km/MJ</v>
      </c>
      <c r="F1279" s="1" t="str">
        <f t="shared" ref="F1279:K1279" si="783">IFERROR(F1228/F1154,"-")</f>
        <v>-</v>
      </c>
      <c r="G1279" s="1">
        <f t="shared" si="783"/>
        <v>0.83675282096654224</v>
      </c>
      <c r="H1279" s="1">
        <f t="shared" si="783"/>
        <v>0.83675282096654235</v>
      </c>
      <c r="I1279" s="1" t="str">
        <f t="shared" si="783"/>
        <v>-</v>
      </c>
      <c r="J1279" s="1">
        <f t="shared" si="783"/>
        <v>0.91707316383712434</v>
      </c>
      <c r="K1279" s="1">
        <f t="shared" si="783"/>
        <v>1.0598528966215004</v>
      </c>
    </row>
    <row r="1280" spans="2:11" x14ac:dyDescent="0.3">
      <c r="B1280" s="5" t="str">
        <f t="shared" si="777"/>
        <v>SPS3</v>
      </c>
      <c r="C1280" s="5" t="str">
        <f t="shared" si="775"/>
        <v>CH</v>
      </c>
      <c r="D1280" t="s">
        <v>1233</v>
      </c>
      <c r="E1280" t="str">
        <f t="shared" si="776"/>
        <v>km/MJ</v>
      </c>
      <c r="F1280" s="1">
        <f t="shared" ref="F1280:K1293" si="784">IFERROR(F1229/F1160,"-")</f>
        <v>0.49379534694678334</v>
      </c>
      <c r="G1280" s="1">
        <f t="shared" si="784"/>
        <v>0.50503220860251374</v>
      </c>
      <c r="H1280" s="1">
        <f t="shared" si="784"/>
        <v>0.52188750108610937</v>
      </c>
      <c r="I1280" s="1">
        <f t="shared" si="784"/>
        <v>0.54997965522543635</v>
      </c>
      <c r="J1280" s="1" t="str">
        <f t="shared" si="784"/>
        <v>-</v>
      </c>
      <c r="K1280" s="1" t="str">
        <f t="shared" si="784"/>
        <v>-</v>
      </c>
    </row>
    <row r="1281" spans="2:11" x14ac:dyDescent="0.3">
      <c r="B1281" s="5" t="str">
        <f t="shared" si="777"/>
        <v>SPS3</v>
      </c>
      <c r="C1281" s="5" t="str">
        <f t="shared" si="775"/>
        <v>CH</v>
      </c>
      <c r="D1281" t="s">
        <v>1199</v>
      </c>
      <c r="E1281" t="str">
        <f t="shared" si="776"/>
        <v>km/MJ</v>
      </c>
      <c r="F1281" s="1">
        <f t="shared" si="784"/>
        <v>1.1504427851140617</v>
      </c>
      <c r="G1281" s="1">
        <f t="shared" si="784"/>
        <v>1.254143401207706</v>
      </c>
      <c r="H1281" s="1">
        <f t="shared" si="784"/>
        <v>1.2765847483559873</v>
      </c>
      <c r="I1281" s="1">
        <f t="shared" si="784"/>
        <v>0.88060344982801164</v>
      </c>
      <c r="J1281" s="1">
        <f t="shared" si="784"/>
        <v>0.88129886090864118</v>
      </c>
      <c r="K1281" s="1">
        <f t="shared" si="784"/>
        <v>0.9489198567570275</v>
      </c>
    </row>
    <row r="1282" spans="2:11" x14ac:dyDescent="0.3">
      <c r="B1282" s="5" t="str">
        <f t="shared" si="777"/>
        <v>SPS3</v>
      </c>
      <c r="C1282" s="5" t="str">
        <f t="shared" si="775"/>
        <v>CH</v>
      </c>
      <c r="D1282" t="s">
        <v>1200</v>
      </c>
      <c r="E1282" t="str">
        <f t="shared" si="776"/>
        <v>km/MJ</v>
      </c>
      <c r="F1282" s="1">
        <f t="shared" si="784"/>
        <v>1.8132503681727061</v>
      </c>
      <c r="G1282" s="1">
        <f t="shared" si="784"/>
        <v>1.8071274199154586</v>
      </c>
      <c r="H1282" s="1">
        <f t="shared" si="784"/>
        <v>2.1852540724601921</v>
      </c>
      <c r="I1282" s="1">
        <f t="shared" si="784"/>
        <v>0.73029573910345913</v>
      </c>
      <c r="J1282" s="1">
        <f t="shared" si="784"/>
        <v>0.73036266599253885</v>
      </c>
      <c r="K1282" s="1">
        <f t="shared" si="784"/>
        <v>0.78918199533557243</v>
      </c>
    </row>
    <row r="1283" spans="2:11" x14ac:dyDescent="0.3">
      <c r="B1283" s="5" t="str">
        <f t="shared" si="777"/>
        <v>SPS3</v>
      </c>
      <c r="C1283" s="5" t="str">
        <f t="shared" si="775"/>
        <v>CH</v>
      </c>
      <c r="D1283" t="s">
        <v>1201</v>
      </c>
      <c r="E1283" t="str">
        <f t="shared" si="776"/>
        <v>km/MJ</v>
      </c>
      <c r="F1283" s="1">
        <f t="shared" si="784"/>
        <v>2.3412708905485857</v>
      </c>
      <c r="G1283" s="1">
        <f t="shared" si="784"/>
        <v>2.5551401302793191</v>
      </c>
      <c r="H1283" s="1">
        <f t="shared" si="784"/>
        <v>2.1047444756694822</v>
      </c>
      <c r="I1283" s="1">
        <f t="shared" si="784"/>
        <v>0.9977455608664918</v>
      </c>
      <c r="J1283" s="1">
        <f t="shared" si="784"/>
        <v>0.71057329084756549</v>
      </c>
      <c r="K1283" s="1">
        <f t="shared" si="784"/>
        <v>0.71181575765400829</v>
      </c>
    </row>
    <row r="1284" spans="2:11" x14ac:dyDescent="0.3">
      <c r="B1284" s="5" t="str">
        <f t="shared" si="777"/>
        <v>SPS3</v>
      </c>
      <c r="C1284" s="5" t="str">
        <f t="shared" si="775"/>
        <v>CH</v>
      </c>
      <c r="D1284" t="s">
        <v>1202</v>
      </c>
      <c r="E1284" t="str">
        <f t="shared" si="776"/>
        <v>km/MJ</v>
      </c>
      <c r="F1284" s="1">
        <f t="shared" si="784"/>
        <v>1.1388157390242621</v>
      </c>
      <c r="G1284" s="1">
        <f t="shared" si="784"/>
        <v>1.5806535608303991</v>
      </c>
      <c r="H1284" s="1">
        <f t="shared" si="784"/>
        <v>1.4020133505484595</v>
      </c>
      <c r="I1284" s="1">
        <f t="shared" si="784"/>
        <v>0.64991777788924154</v>
      </c>
      <c r="J1284" s="1">
        <f t="shared" si="784"/>
        <v>0.64996590702335233</v>
      </c>
      <c r="K1284" s="1">
        <f t="shared" si="784"/>
        <v>0.70027158543565327</v>
      </c>
    </row>
    <row r="1285" spans="2:11" x14ac:dyDescent="0.3">
      <c r="B1285" s="5" t="str">
        <f t="shared" si="777"/>
        <v>SPS3</v>
      </c>
      <c r="C1285" s="5" t="str">
        <f t="shared" si="775"/>
        <v>CH</v>
      </c>
      <c r="D1285" t="s">
        <v>1203</v>
      </c>
      <c r="E1285" t="str">
        <f t="shared" si="776"/>
        <v>km/MJ</v>
      </c>
      <c r="F1285" s="1">
        <f t="shared" si="784"/>
        <v>0.28603940550919515</v>
      </c>
      <c r="G1285" s="1">
        <f t="shared" si="784"/>
        <v>0.29254854993039725</v>
      </c>
      <c r="H1285" s="1">
        <f t="shared" si="784"/>
        <v>0.30231226656220067</v>
      </c>
      <c r="I1285" s="1">
        <f t="shared" si="784"/>
        <v>0.3185851276152063</v>
      </c>
      <c r="J1285" s="1" t="str">
        <f t="shared" si="784"/>
        <v>-</v>
      </c>
      <c r="K1285" s="1" t="str">
        <f t="shared" si="784"/>
        <v>-</v>
      </c>
    </row>
    <row r="1286" spans="2:11" x14ac:dyDescent="0.3">
      <c r="B1286" s="5" t="str">
        <f t="shared" si="777"/>
        <v>SPS3</v>
      </c>
      <c r="C1286" s="5" t="str">
        <f t="shared" si="775"/>
        <v>CH</v>
      </c>
      <c r="D1286" t="s">
        <v>1204</v>
      </c>
      <c r="E1286" t="str">
        <f t="shared" si="776"/>
        <v>km/MJ</v>
      </c>
      <c r="F1286" s="1">
        <f t="shared" si="784"/>
        <v>0.69127744256871826</v>
      </c>
      <c r="G1286" s="1">
        <f t="shared" si="784"/>
        <v>0.67608496619276937</v>
      </c>
      <c r="H1286" s="1">
        <f t="shared" si="784"/>
        <v>0.61799026668953316</v>
      </c>
      <c r="I1286" s="1">
        <f t="shared" si="784"/>
        <v>0.86831800960410588</v>
      </c>
      <c r="J1286" s="1">
        <f t="shared" si="784"/>
        <v>0.62725429309887715</v>
      </c>
      <c r="K1286" s="1">
        <f t="shared" si="784"/>
        <v>0.62816200783532239</v>
      </c>
    </row>
    <row r="1287" spans="2:11" x14ac:dyDescent="0.3">
      <c r="B1287" s="5" t="str">
        <f t="shared" si="777"/>
        <v>SPS3</v>
      </c>
      <c r="C1287" s="5" t="str">
        <f t="shared" si="775"/>
        <v>CH</v>
      </c>
      <c r="D1287" t="s">
        <v>1205</v>
      </c>
      <c r="E1287" t="str">
        <f t="shared" si="776"/>
        <v>km/MJ</v>
      </c>
      <c r="F1287" s="1">
        <f t="shared" si="784"/>
        <v>0.60193192172921295</v>
      </c>
      <c r="G1287" s="1">
        <f t="shared" si="784"/>
        <v>0.60445890231570187</v>
      </c>
      <c r="H1287" s="1">
        <f t="shared" si="784"/>
        <v>0.58741355424073072</v>
      </c>
      <c r="I1287" s="1">
        <f t="shared" si="784"/>
        <v>0.65428340936258889</v>
      </c>
      <c r="J1287" s="1">
        <f t="shared" si="784"/>
        <v>0.50454622651578951</v>
      </c>
      <c r="K1287" s="1">
        <f t="shared" si="784"/>
        <v>0.50454300829944765</v>
      </c>
    </row>
    <row r="1288" spans="2:11" x14ac:dyDescent="0.3">
      <c r="B1288" s="5" t="str">
        <f t="shared" si="777"/>
        <v>SPS3</v>
      </c>
      <c r="C1288" s="5" t="str">
        <f t="shared" si="775"/>
        <v>CH</v>
      </c>
      <c r="D1288" t="s">
        <v>1206</v>
      </c>
      <c r="E1288" t="str">
        <f t="shared" si="776"/>
        <v>km/MJ</v>
      </c>
      <c r="F1288" s="1">
        <f t="shared" si="784"/>
        <v>0.51607997953865181</v>
      </c>
      <c r="G1288" s="1">
        <f t="shared" si="784"/>
        <v>0.51684274105736416</v>
      </c>
      <c r="H1288" s="1">
        <f t="shared" si="784"/>
        <v>0.51689414701552117</v>
      </c>
      <c r="I1288" s="1">
        <f t="shared" si="784"/>
        <v>0.51536379447199021</v>
      </c>
      <c r="J1288" s="1">
        <f t="shared" si="784"/>
        <v>0.46877355532584514</v>
      </c>
      <c r="K1288" s="1">
        <f t="shared" si="784"/>
        <v>0.46895179880015042</v>
      </c>
    </row>
    <row r="1289" spans="2:11" x14ac:dyDescent="0.3">
      <c r="B1289" s="5" t="str">
        <f t="shared" si="777"/>
        <v>SPS3</v>
      </c>
      <c r="C1289" s="5" t="str">
        <f t="shared" si="775"/>
        <v>CH</v>
      </c>
      <c r="D1289" t="s">
        <v>1207</v>
      </c>
      <c r="E1289" t="str">
        <f t="shared" si="776"/>
        <v>km/MJ</v>
      </c>
      <c r="F1289" s="1">
        <f t="shared" si="784"/>
        <v>0.43422728016133338</v>
      </c>
      <c r="G1289" s="1">
        <f t="shared" si="784"/>
        <v>0.43329952786702641</v>
      </c>
      <c r="H1289" s="1">
        <f t="shared" si="784"/>
        <v>0.43371518528736863</v>
      </c>
      <c r="I1289" s="1">
        <f t="shared" si="784"/>
        <v>0.44095133075646825</v>
      </c>
      <c r="J1289" s="1">
        <f t="shared" si="784"/>
        <v>0.47318214994252961</v>
      </c>
      <c r="K1289" s="1">
        <f t="shared" si="784"/>
        <v>0.47329901763586901</v>
      </c>
    </row>
    <row r="1290" spans="2:11" x14ac:dyDescent="0.3">
      <c r="B1290" s="5" t="str">
        <f t="shared" si="777"/>
        <v>SPS3</v>
      </c>
      <c r="C1290" s="5" t="str">
        <f t="shared" si="775"/>
        <v>CH</v>
      </c>
      <c r="D1290" t="s">
        <v>1208</v>
      </c>
      <c r="E1290" t="str">
        <f t="shared" si="776"/>
        <v>km/MJ</v>
      </c>
      <c r="F1290" s="1" t="str">
        <f t="shared" si="784"/>
        <v>-</v>
      </c>
      <c r="G1290" s="1">
        <f t="shared" si="784"/>
        <v>0.51837627625535143</v>
      </c>
      <c r="H1290" s="1">
        <f t="shared" si="784"/>
        <v>0.53413089818827375</v>
      </c>
      <c r="I1290" s="1">
        <f t="shared" si="784"/>
        <v>0.60386039139595959</v>
      </c>
      <c r="J1290" s="1">
        <f t="shared" si="784"/>
        <v>0.6516418051995464</v>
      </c>
      <c r="K1290" s="1">
        <f t="shared" si="784"/>
        <v>0.73254860203742156</v>
      </c>
    </row>
    <row r="1291" spans="2:11" x14ac:dyDescent="0.3">
      <c r="B1291" s="5" t="str">
        <f t="shared" si="777"/>
        <v>SPS3</v>
      </c>
      <c r="C1291" s="5" t="str">
        <f t="shared" si="775"/>
        <v>CH</v>
      </c>
      <c r="D1291" t="s">
        <v>1209</v>
      </c>
      <c r="E1291" t="str">
        <f t="shared" si="776"/>
        <v>km/MJ</v>
      </c>
      <c r="F1291" s="1" t="str">
        <f t="shared" si="784"/>
        <v>-</v>
      </c>
      <c r="G1291" s="1">
        <f t="shared" si="784"/>
        <v>0.41733711223535025</v>
      </c>
      <c r="H1291" s="1">
        <f t="shared" si="784"/>
        <v>0.43046914742219328</v>
      </c>
      <c r="I1291" s="1">
        <f t="shared" si="784"/>
        <v>0.47958274504806675</v>
      </c>
      <c r="J1291" s="1">
        <f t="shared" si="784"/>
        <v>0.56791715552528776</v>
      </c>
      <c r="K1291" s="1">
        <f t="shared" si="784"/>
        <v>0.60036747355630193</v>
      </c>
    </row>
    <row r="1292" spans="2:11" x14ac:dyDescent="0.3">
      <c r="B1292" s="5" t="str">
        <f t="shared" si="777"/>
        <v>SPS3</v>
      </c>
      <c r="C1292" s="5" t="str">
        <f t="shared" si="775"/>
        <v>CH</v>
      </c>
      <c r="D1292" t="s">
        <v>1210</v>
      </c>
      <c r="E1292" t="str">
        <f t="shared" si="776"/>
        <v>km/MJ</v>
      </c>
      <c r="F1292" s="1" t="str">
        <f t="shared" si="784"/>
        <v>-</v>
      </c>
      <c r="G1292" s="1">
        <f t="shared" si="784"/>
        <v>0.38796990995538688</v>
      </c>
      <c r="H1292" s="1">
        <f t="shared" si="784"/>
        <v>0.39927034919159105</v>
      </c>
      <c r="I1292" s="1">
        <f t="shared" si="784"/>
        <v>0.44436718210307602</v>
      </c>
      <c r="J1292" s="1">
        <f t="shared" si="784"/>
        <v>0.52968678028015159</v>
      </c>
      <c r="K1292" s="1">
        <f t="shared" si="784"/>
        <v>0.55927784600264252</v>
      </c>
    </row>
    <row r="1293" spans="2:11" x14ac:dyDescent="0.3">
      <c r="B1293" s="5" t="str">
        <f t="shared" si="777"/>
        <v>SPS3</v>
      </c>
      <c r="C1293" s="5" t="str">
        <f t="shared" si="775"/>
        <v>CH</v>
      </c>
      <c r="D1293" t="s">
        <v>1211</v>
      </c>
      <c r="E1293" t="str">
        <f t="shared" si="776"/>
        <v>km/MJ</v>
      </c>
      <c r="F1293" s="1" t="str">
        <f t="shared" si="784"/>
        <v>-</v>
      </c>
      <c r="G1293" s="1">
        <f t="shared" si="784"/>
        <v>0.39332458747711369</v>
      </c>
      <c r="H1293" s="1">
        <f t="shared" si="784"/>
        <v>0.40490135212251466</v>
      </c>
      <c r="I1293" s="1">
        <f t="shared" si="784"/>
        <v>0.45289704921805318</v>
      </c>
      <c r="J1293" s="1">
        <f t="shared" si="784"/>
        <v>0.52490672871470623</v>
      </c>
      <c r="K1293" s="1">
        <f t="shared" si="784"/>
        <v>0.56064294020506289</v>
      </c>
    </row>
    <row r="1294" spans="2:11" x14ac:dyDescent="0.3">
      <c r="B1294" s="5" t="str">
        <f t="shared" si="777"/>
        <v>SPS3</v>
      </c>
      <c r="C1294" s="5" t="str">
        <f t="shared" si="775"/>
        <v>CH</v>
      </c>
      <c r="D1294" t="s">
        <v>1235</v>
      </c>
      <c r="E1294" t="str">
        <f t="shared" si="776"/>
        <v>km/MJ</v>
      </c>
      <c r="F1294" s="1" t="str">
        <f t="shared" ref="F1294:K1307" si="785">IFERROR(F1243/F1183,"-")</f>
        <v>-</v>
      </c>
      <c r="G1294" s="1" t="str">
        <f t="shared" si="785"/>
        <v>-</v>
      </c>
      <c r="H1294" s="1" t="str">
        <f t="shared" si="785"/>
        <v>-</v>
      </c>
      <c r="I1294" s="1" t="str">
        <f t="shared" si="785"/>
        <v>-</v>
      </c>
      <c r="J1294" s="1" t="str">
        <f t="shared" si="785"/>
        <v>-</v>
      </c>
      <c r="K1294" s="1" t="str">
        <f t="shared" si="785"/>
        <v>-</v>
      </c>
    </row>
    <row r="1295" spans="2:11" x14ac:dyDescent="0.3">
      <c r="B1295" s="5" t="str">
        <f t="shared" si="777"/>
        <v>SPS3</v>
      </c>
      <c r="C1295" s="5" t="str">
        <f t="shared" si="775"/>
        <v>CH</v>
      </c>
      <c r="D1295" t="s">
        <v>1212</v>
      </c>
      <c r="E1295" t="str">
        <f t="shared" si="776"/>
        <v>km/MJ</v>
      </c>
      <c r="F1295" s="1">
        <f t="shared" si="785"/>
        <v>0.41824117647058778</v>
      </c>
      <c r="G1295" s="1">
        <f t="shared" si="785"/>
        <v>1.1961254864005644</v>
      </c>
      <c r="H1295" s="1">
        <f t="shared" si="785"/>
        <v>1.2277962456237048</v>
      </c>
      <c r="I1295" s="1">
        <f t="shared" si="785"/>
        <v>0.88013670725646886</v>
      </c>
      <c r="J1295" s="1">
        <f t="shared" si="785"/>
        <v>0.88078394983167241</v>
      </c>
      <c r="K1295" s="1">
        <f t="shared" si="785"/>
        <v>0.94766128253964133</v>
      </c>
    </row>
    <row r="1296" spans="2:11" x14ac:dyDescent="0.3">
      <c r="B1296" s="5" t="str">
        <f t="shared" si="777"/>
        <v>SPS3</v>
      </c>
      <c r="C1296" s="5" t="str">
        <f t="shared" si="775"/>
        <v>CH</v>
      </c>
      <c r="D1296" t="s">
        <v>1213</v>
      </c>
      <c r="E1296" t="str">
        <f t="shared" si="776"/>
        <v>km/MJ</v>
      </c>
      <c r="F1296" s="1">
        <f t="shared" si="785"/>
        <v>1.1839821537481183</v>
      </c>
      <c r="G1296" s="1">
        <f t="shared" si="785"/>
        <v>2.686699163358226</v>
      </c>
      <c r="H1296" s="1">
        <f t="shared" si="785"/>
        <v>2.6839648315649525</v>
      </c>
      <c r="I1296" s="1">
        <f t="shared" si="785"/>
        <v>0.81850059537214603</v>
      </c>
      <c r="J1296" s="1">
        <f t="shared" si="785"/>
        <v>0.72985000404278877</v>
      </c>
      <c r="K1296" s="1">
        <f t="shared" si="785"/>
        <v>0.78746401036180169</v>
      </c>
    </row>
    <row r="1297" spans="2:11" x14ac:dyDescent="0.3">
      <c r="B1297" s="5" t="str">
        <f t="shared" si="777"/>
        <v>SPS3</v>
      </c>
      <c r="C1297" s="5" t="str">
        <f t="shared" si="775"/>
        <v>CH</v>
      </c>
      <c r="D1297" t="s">
        <v>1214</v>
      </c>
      <c r="E1297" t="str">
        <f t="shared" si="776"/>
        <v>km/MJ</v>
      </c>
      <c r="F1297" s="1">
        <f t="shared" si="785"/>
        <v>0.90196772894934718</v>
      </c>
      <c r="G1297" s="1">
        <f t="shared" si="785"/>
        <v>1.6434554270779087</v>
      </c>
      <c r="H1297" s="1">
        <f t="shared" si="785"/>
        <v>1.6452322778518795</v>
      </c>
      <c r="I1297" s="1">
        <f t="shared" si="785"/>
        <v>0.71964718505221614</v>
      </c>
      <c r="J1297" s="1">
        <f t="shared" si="785"/>
        <v>0.65598172997266535</v>
      </c>
      <c r="K1297" s="1">
        <f t="shared" si="785"/>
        <v>0.71030736025019414</v>
      </c>
    </row>
    <row r="1298" spans="2:11" x14ac:dyDescent="0.3">
      <c r="B1298" s="5" t="str">
        <f t="shared" si="777"/>
        <v>SPS3</v>
      </c>
      <c r="C1298" s="5" t="str">
        <f t="shared" si="775"/>
        <v>CH</v>
      </c>
      <c r="D1298" t="s">
        <v>1215</v>
      </c>
      <c r="E1298" t="str">
        <f t="shared" si="776"/>
        <v>km/MJ</v>
      </c>
      <c r="F1298" s="1">
        <f t="shared" si="785"/>
        <v>1.3443637450043238</v>
      </c>
      <c r="G1298" s="1">
        <f t="shared" si="785"/>
        <v>1.8610307711203395</v>
      </c>
      <c r="H1298" s="1">
        <f t="shared" si="785"/>
        <v>1.9289120232091048</v>
      </c>
      <c r="I1298" s="1">
        <f t="shared" si="785"/>
        <v>0.8258308384457077</v>
      </c>
      <c r="J1298" s="1">
        <f t="shared" si="785"/>
        <v>0.6520891736990283</v>
      </c>
      <c r="K1298" s="1">
        <f t="shared" si="785"/>
        <v>0.69886758301063467</v>
      </c>
    </row>
    <row r="1299" spans="2:11" x14ac:dyDescent="0.3">
      <c r="B1299" s="5" t="str">
        <f t="shared" si="777"/>
        <v>SPS3</v>
      </c>
      <c r="C1299" s="5" t="str">
        <f t="shared" si="775"/>
        <v>CH</v>
      </c>
      <c r="D1299" t="s">
        <v>1216</v>
      </c>
      <c r="E1299" t="str">
        <f t="shared" si="776"/>
        <v>km/MJ</v>
      </c>
      <c r="F1299" s="1">
        <f t="shared" si="785"/>
        <v>0.33901850024086005</v>
      </c>
      <c r="G1299" s="1">
        <f t="shared" si="785"/>
        <v>0.35391427166601108</v>
      </c>
      <c r="H1299" s="1">
        <f t="shared" si="785"/>
        <v>0.37625792880373743</v>
      </c>
      <c r="I1299" s="1">
        <f t="shared" si="785"/>
        <v>0.41349735736661491</v>
      </c>
      <c r="J1299" s="1" t="str">
        <f t="shared" si="785"/>
        <v>-</v>
      </c>
      <c r="K1299" s="1" t="str">
        <f t="shared" si="785"/>
        <v>-</v>
      </c>
    </row>
    <row r="1300" spans="2:11" x14ac:dyDescent="0.3">
      <c r="B1300" s="5" t="str">
        <f t="shared" si="777"/>
        <v>SPS3</v>
      </c>
      <c r="C1300" s="5" t="str">
        <f t="shared" si="775"/>
        <v>CH</v>
      </c>
      <c r="D1300" t="s">
        <v>1217</v>
      </c>
      <c r="E1300" t="str">
        <f t="shared" si="776"/>
        <v>km/MJ</v>
      </c>
      <c r="F1300" s="1">
        <f t="shared" si="785"/>
        <v>0.75235872047880059</v>
      </c>
      <c r="G1300" s="1">
        <f t="shared" si="785"/>
        <v>0.77639276112990141</v>
      </c>
      <c r="H1300" s="1">
        <f t="shared" si="785"/>
        <v>0.80166204730705926</v>
      </c>
      <c r="I1300" s="1">
        <f t="shared" si="785"/>
        <v>0.94630190856947827</v>
      </c>
      <c r="J1300" s="1">
        <f t="shared" si="785"/>
        <v>0.65263112006558077</v>
      </c>
      <c r="K1300" s="1">
        <f t="shared" si="785"/>
        <v>0.651277608096275</v>
      </c>
    </row>
    <row r="1301" spans="2:11" x14ac:dyDescent="0.3">
      <c r="B1301" s="5" t="str">
        <f t="shared" si="777"/>
        <v>SPS3</v>
      </c>
      <c r="C1301" s="5" t="str">
        <f t="shared" si="775"/>
        <v>CH</v>
      </c>
      <c r="D1301" t="s">
        <v>1218</v>
      </c>
      <c r="E1301" t="str">
        <f t="shared" si="776"/>
        <v>km/MJ</v>
      </c>
      <c r="F1301" s="1">
        <f t="shared" si="785"/>
        <v>0.69912419154025252</v>
      </c>
      <c r="G1301" s="1">
        <f t="shared" si="785"/>
        <v>0.703799811831747</v>
      </c>
      <c r="H1301" s="1">
        <f t="shared" si="785"/>
        <v>0.70280307328299763</v>
      </c>
      <c r="I1301" s="1">
        <f t="shared" si="785"/>
        <v>0.90435546630715014</v>
      </c>
      <c r="J1301" s="1">
        <f t="shared" si="785"/>
        <v>0.52388266955047791</v>
      </c>
      <c r="K1301" s="1">
        <f t="shared" si="785"/>
        <v>0.52262562375013411</v>
      </c>
    </row>
    <row r="1302" spans="2:11" x14ac:dyDescent="0.3">
      <c r="B1302" s="5" t="str">
        <f t="shared" si="777"/>
        <v>SPS3</v>
      </c>
      <c r="C1302" s="5" t="str">
        <f t="shared" si="775"/>
        <v>CH</v>
      </c>
      <c r="D1302" t="s">
        <v>1219</v>
      </c>
      <c r="E1302" t="str">
        <f t="shared" si="776"/>
        <v>km/MJ</v>
      </c>
      <c r="F1302" s="1">
        <f t="shared" si="785"/>
        <v>0.53681620086785165</v>
      </c>
      <c r="G1302" s="1">
        <f t="shared" si="785"/>
        <v>0.53273155362438007</v>
      </c>
      <c r="H1302" s="1">
        <f t="shared" si="785"/>
        <v>0.5419878692705784</v>
      </c>
      <c r="I1302" s="1">
        <f t="shared" si="785"/>
        <v>0.56440565635752482</v>
      </c>
      <c r="J1302" s="1">
        <f t="shared" si="785"/>
        <v>0.48585661638021699</v>
      </c>
      <c r="K1302" s="1">
        <f t="shared" si="785"/>
        <v>0.48577678811134389</v>
      </c>
    </row>
    <row r="1303" spans="2:11" x14ac:dyDescent="0.3">
      <c r="B1303" s="5" t="str">
        <f t="shared" si="777"/>
        <v>SPS3</v>
      </c>
      <c r="C1303" s="5" t="str">
        <f t="shared" si="775"/>
        <v>CH</v>
      </c>
      <c r="D1303" t="s">
        <v>1220</v>
      </c>
      <c r="E1303" t="str">
        <f t="shared" si="776"/>
        <v>km/MJ</v>
      </c>
      <c r="F1303" s="1">
        <f t="shared" si="785"/>
        <v>0.46606968334346793</v>
      </c>
      <c r="G1303" s="1">
        <f t="shared" si="785"/>
        <v>0.45572459316451946</v>
      </c>
      <c r="H1303" s="1">
        <f t="shared" si="785"/>
        <v>0.4566982744923298</v>
      </c>
      <c r="I1303" s="1">
        <f t="shared" si="785"/>
        <v>0.45328307868122664</v>
      </c>
      <c r="J1303" s="1">
        <f t="shared" si="785"/>
        <v>0.45832999262480428</v>
      </c>
      <c r="K1303" s="1">
        <f t="shared" si="785"/>
        <v>0.45905182841025849</v>
      </c>
    </row>
    <row r="1304" spans="2:11" x14ac:dyDescent="0.3">
      <c r="B1304" s="5" t="str">
        <f t="shared" si="777"/>
        <v>SPS3</v>
      </c>
      <c r="C1304" s="5" t="str">
        <f t="shared" si="775"/>
        <v>CH</v>
      </c>
      <c r="D1304" t="s">
        <v>1221</v>
      </c>
      <c r="E1304" t="str">
        <f t="shared" si="776"/>
        <v>km/MJ</v>
      </c>
      <c r="F1304" s="1" t="str">
        <f t="shared" si="785"/>
        <v>-</v>
      </c>
      <c r="G1304" s="1">
        <f t="shared" si="785"/>
        <v>0.56203544748554668</v>
      </c>
      <c r="H1304" s="1">
        <f t="shared" si="785"/>
        <v>0.57595567727471286</v>
      </c>
      <c r="I1304" s="1">
        <f t="shared" si="785"/>
        <v>0.63593212919968956</v>
      </c>
      <c r="J1304" s="1">
        <f t="shared" si="785"/>
        <v>0.6907753988620664</v>
      </c>
      <c r="K1304" s="1">
        <f t="shared" si="785"/>
        <v>0.75254346670975836</v>
      </c>
    </row>
    <row r="1305" spans="2:11" x14ac:dyDescent="0.3">
      <c r="B1305" s="5" t="str">
        <f t="shared" si="777"/>
        <v>SPS3</v>
      </c>
      <c r="C1305" s="5" t="str">
        <f t="shared" si="775"/>
        <v>CH</v>
      </c>
      <c r="D1305" t="s">
        <v>1222</v>
      </c>
      <c r="E1305" t="str">
        <f t="shared" si="776"/>
        <v>km/MJ</v>
      </c>
      <c r="F1305" s="1" t="str">
        <f t="shared" si="785"/>
        <v>-</v>
      </c>
      <c r="G1305" s="1">
        <f t="shared" si="785"/>
        <v>0.45210145766281423</v>
      </c>
      <c r="H1305" s="1">
        <f t="shared" si="785"/>
        <v>0.46400364557507379</v>
      </c>
      <c r="I1305" s="1">
        <f t="shared" si="785"/>
        <v>0.50631287942136172</v>
      </c>
      <c r="J1305" s="1">
        <f t="shared" si="785"/>
        <v>0.58977952344134532</v>
      </c>
      <c r="K1305" s="1">
        <f t="shared" si="785"/>
        <v>0.61631034459805156</v>
      </c>
    </row>
    <row r="1306" spans="2:11" x14ac:dyDescent="0.3">
      <c r="B1306" s="5" t="str">
        <f t="shared" si="777"/>
        <v>SPS3</v>
      </c>
      <c r="C1306" s="5" t="str">
        <f t="shared" si="775"/>
        <v>CH</v>
      </c>
      <c r="D1306" t="s">
        <v>1223</v>
      </c>
      <c r="E1306" t="str">
        <f t="shared" si="776"/>
        <v>km/MJ</v>
      </c>
      <c r="F1306" s="1" t="str">
        <f t="shared" si="785"/>
        <v>-</v>
      </c>
      <c r="G1306" s="1">
        <f t="shared" si="785"/>
        <v>0.4202814963287691</v>
      </c>
      <c r="H1306" s="1">
        <f t="shared" si="785"/>
        <v>0.43035280938407561</v>
      </c>
      <c r="I1306" s="1">
        <f t="shared" si="785"/>
        <v>0.46915796725513387</v>
      </c>
      <c r="J1306" s="1">
        <f t="shared" si="785"/>
        <v>0.54955873873127814</v>
      </c>
      <c r="K1306" s="1">
        <f t="shared" si="785"/>
        <v>0.57416473466103135</v>
      </c>
    </row>
    <row r="1307" spans="2:11" x14ac:dyDescent="0.3">
      <c r="B1307" s="5" t="str">
        <f t="shared" si="777"/>
        <v>SPS3</v>
      </c>
      <c r="C1307" s="5" t="str">
        <f t="shared" si="775"/>
        <v>CH</v>
      </c>
      <c r="D1307" t="s">
        <v>1224</v>
      </c>
      <c r="E1307" t="str">
        <f t="shared" si="776"/>
        <v>km/MJ</v>
      </c>
      <c r="F1307" s="1" t="str">
        <f t="shared" si="785"/>
        <v>-</v>
      </c>
      <c r="G1307" s="1">
        <f t="shared" si="785"/>
        <v>0.39943403925494791</v>
      </c>
      <c r="H1307" s="1">
        <f t="shared" si="785"/>
        <v>0.40906069820432894</v>
      </c>
      <c r="I1307" s="1">
        <f t="shared" si="785"/>
        <v>0.44540772214638508</v>
      </c>
      <c r="J1307" s="1">
        <f t="shared" si="785"/>
        <v>0.51981706805884631</v>
      </c>
      <c r="K1307" s="1">
        <f t="shared" si="785"/>
        <v>0.54230371884514705</v>
      </c>
    </row>
    <row r="1308" spans="2:11" x14ac:dyDescent="0.3">
      <c r="B1308" s="5" t="str">
        <f t="shared" si="777"/>
        <v>SPS3</v>
      </c>
      <c r="C1308" s="5" t="str">
        <f t="shared" si="775"/>
        <v>CH</v>
      </c>
      <c r="D1308" t="s">
        <v>1225</v>
      </c>
      <c r="E1308" t="str">
        <f t="shared" si="776"/>
        <v>km/MJ</v>
      </c>
      <c r="F1308" s="1" t="str">
        <f>IFERROR(F1257/F1206,"-")</f>
        <v>-</v>
      </c>
      <c r="G1308" s="1">
        <f t="shared" ref="G1308:K1312" si="786">IFERROR(G1257/G1197,"-")</f>
        <v>0</v>
      </c>
      <c r="H1308" s="1">
        <f t="shared" si="786"/>
        <v>0</v>
      </c>
      <c r="I1308" s="1">
        <f t="shared" si="786"/>
        <v>0</v>
      </c>
      <c r="J1308" s="1">
        <f t="shared" si="786"/>
        <v>0</v>
      </c>
      <c r="K1308" s="1">
        <f t="shared" si="786"/>
        <v>0</v>
      </c>
    </row>
    <row r="1309" spans="2:11" x14ac:dyDescent="0.3">
      <c r="B1309" s="5" t="str">
        <f t="shared" si="777"/>
        <v>SPS3</v>
      </c>
      <c r="C1309" s="5" t="str">
        <f t="shared" si="775"/>
        <v>CH</v>
      </c>
      <c r="D1309" t="s">
        <v>1226</v>
      </c>
      <c r="E1309" t="str">
        <f t="shared" si="776"/>
        <v>km/MJ</v>
      </c>
      <c r="F1309" s="1">
        <f>IFERROR(F1258/F1207,"-")</f>
        <v>0.61605239120781374</v>
      </c>
      <c r="G1309" s="1">
        <f t="shared" si="786"/>
        <v>0.45514121697120496</v>
      </c>
      <c r="H1309" s="1">
        <f t="shared" si="786"/>
        <v>9.6557737022616192E-4</v>
      </c>
      <c r="I1309" s="1">
        <f t="shared" si="786"/>
        <v>3.4992281114633408</v>
      </c>
      <c r="J1309" s="1">
        <f t="shared" si="786"/>
        <v>3.0030532569636588E-4</v>
      </c>
      <c r="K1309" s="1">
        <f t="shared" si="786"/>
        <v>4.9746978550497113E-4</v>
      </c>
    </row>
    <row r="1310" spans="2:11" x14ac:dyDescent="0.3">
      <c r="B1310" s="5" t="str">
        <f t="shared" si="777"/>
        <v>SPS3</v>
      </c>
      <c r="C1310" s="5" t="str">
        <f t="shared" si="775"/>
        <v>CH</v>
      </c>
      <c r="D1310" t="s">
        <v>1227</v>
      </c>
      <c r="E1310" t="str">
        <f t="shared" si="776"/>
        <v>km/MJ</v>
      </c>
      <c r="F1310" s="1">
        <f>IFERROR(F1259/F1208,"-")</f>
        <v>0.6317767766705471</v>
      </c>
      <c r="G1310" s="1">
        <f t="shared" si="786"/>
        <v>9.9304954530416865</v>
      </c>
      <c r="H1310" s="1">
        <f t="shared" si="786"/>
        <v>3.4718429580139416</v>
      </c>
      <c r="I1310" s="1">
        <f t="shared" si="786"/>
        <v>5.3516186512939115</v>
      </c>
      <c r="J1310" s="1">
        <f t="shared" si="786"/>
        <v>2.8619021733961925E-4</v>
      </c>
      <c r="K1310" s="1">
        <f t="shared" si="786"/>
        <v>7.3714371694739663E-5</v>
      </c>
    </row>
    <row r="1311" spans="2:11" x14ac:dyDescent="0.3">
      <c r="B1311" s="5" t="str">
        <f t="shared" si="777"/>
        <v>SPS3</v>
      </c>
      <c r="C1311" s="5" t="str">
        <f t="shared" si="775"/>
        <v>CH</v>
      </c>
      <c r="D1311" t="s">
        <v>1228</v>
      </c>
      <c r="E1311" t="str">
        <f t="shared" si="776"/>
        <v>km/MJ</v>
      </c>
      <c r="F1311" s="1">
        <f>IFERROR(F1260/F1209,"-")</f>
        <v>0.46898175296115946</v>
      </c>
      <c r="G1311" s="1">
        <f t="shared" si="786"/>
        <v>2.6259187361601256E-3</v>
      </c>
      <c r="H1311" s="1">
        <f t="shared" si="786"/>
        <v>3.2064135459949307E-3</v>
      </c>
      <c r="I1311" s="1">
        <f t="shared" si="786"/>
        <v>3.4090752106063711</v>
      </c>
      <c r="J1311" s="1">
        <f t="shared" si="786"/>
        <v>1.351996097530741E-2</v>
      </c>
      <c r="K1311" s="1">
        <f t="shared" si="786"/>
        <v>1.0566175684890123E-2</v>
      </c>
    </row>
    <row r="1312" spans="2:11" x14ac:dyDescent="0.3">
      <c r="B1312" s="5" t="str">
        <f t="shared" si="777"/>
        <v>SPS3</v>
      </c>
      <c r="C1312" s="5" t="str">
        <f t="shared" si="775"/>
        <v>CH</v>
      </c>
      <c r="D1312" t="s">
        <v>1229</v>
      </c>
      <c r="E1312" t="str">
        <f t="shared" si="776"/>
        <v>km/MJ</v>
      </c>
      <c r="F1312" s="1">
        <f>IFERROR(F1261/F1210,"-")</f>
        <v>0.68270781778906531</v>
      </c>
      <c r="G1312" s="1">
        <f t="shared" si="786"/>
        <v>0.28734060809168632</v>
      </c>
      <c r="H1312" s="1">
        <f t="shared" si="786"/>
        <v>0.27424730273188747</v>
      </c>
      <c r="I1312" s="1">
        <f t="shared" si="786"/>
        <v>0.55561176638137644</v>
      </c>
      <c r="J1312" s="1">
        <f t="shared" si="786"/>
        <v>0.15767702830604072</v>
      </c>
      <c r="K1312" s="1">
        <f t="shared" si="786"/>
        <v>0.15789122317747156</v>
      </c>
    </row>
    <row r="1313" spans="2:16" x14ac:dyDescent="0.3">
      <c r="B1313" s="9" t="str">
        <f t="shared" si="777"/>
        <v>SPS3</v>
      </c>
      <c r="C1313" s="9" t="str">
        <f t="shared" ref="C1313" si="787">C1312</f>
        <v>CH</v>
      </c>
      <c r="D1313" s="2" t="s">
        <v>1305</v>
      </c>
      <c r="E1313" s="2" t="s">
        <v>8</v>
      </c>
      <c r="F1313" s="3">
        <f>F1314+F1320+F1325+F1339</f>
        <v>0.76344779380108185</v>
      </c>
      <c r="G1313" s="3">
        <f t="shared" ref="G1313:K1313" si="788">G1314+G1320+G1325+G1339</f>
        <v>1.3312485864194401</v>
      </c>
      <c r="H1313" s="3">
        <f t="shared" si="788"/>
        <v>2.2990264801565408</v>
      </c>
      <c r="I1313" s="3">
        <f t="shared" si="788"/>
        <v>1.1723636180626857</v>
      </c>
      <c r="J1313" s="3">
        <f t="shared" si="788"/>
        <v>1.3180311650390875</v>
      </c>
      <c r="K1313" s="3">
        <f t="shared" si="788"/>
        <v>1.2380017214659569</v>
      </c>
      <c r="M1313" s="3"/>
      <c r="N1313" s="3"/>
      <c r="O1313" s="3"/>
      <c r="P1313" s="3"/>
    </row>
    <row r="1314" spans="2:16" x14ac:dyDescent="0.3">
      <c r="B1314" s="5" t="str">
        <f t="shared" si="777"/>
        <v>SPS3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1.1872705486985215E-2</v>
      </c>
      <c r="G1314" s="1">
        <f t="shared" ref="G1314:K1314" si="789">SUM(G1315:G1319)</f>
        <v>2.937698092106187E-2</v>
      </c>
      <c r="H1314" s="1">
        <f t="shared" si="789"/>
        <v>4.8362562201526231E-2</v>
      </c>
      <c r="I1314" s="1">
        <f t="shared" si="789"/>
        <v>1.1722380300173549</v>
      </c>
      <c r="J1314" s="1">
        <f t="shared" si="789"/>
        <v>1.0767240127626465</v>
      </c>
      <c r="K1314" s="1">
        <f t="shared" si="789"/>
        <v>1.0882449714465836</v>
      </c>
    </row>
    <row r="1315" spans="2:16" x14ac:dyDescent="0.3">
      <c r="B1315" s="5" t="str">
        <f t="shared" si="777"/>
        <v>SPS3</v>
      </c>
      <c r="C1315" s="5" t="str">
        <f t="shared" ref="C1315:C1348" si="790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4.6022028623680819E-4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4.8563588047506942E-4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4.7313843847897634E-4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3">
      <c r="B1316" s="5" t="str">
        <f t="shared" si="777"/>
        <v>SPS3</v>
      </c>
      <c r="C1316" s="5" t="str">
        <f t="shared" si="790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3.8901909964459571E-7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6.6886753050287929E-3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1.365573724216226E-2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0.24567112331128674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0.2437458800624627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0.20089672843156237</v>
      </c>
    </row>
    <row r="1317" spans="2:16" x14ac:dyDescent="0.3">
      <c r="B1317" s="5" t="str">
        <f t="shared" si="777"/>
        <v>SPS3</v>
      </c>
      <c r="C1317" s="5" t="str">
        <f t="shared" si="790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1.6661345426818765E-3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4.3847009699742008E-3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8.7690603774879406E-3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0.12280353231038385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0.12147265189803325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0.11831231093587612</v>
      </c>
    </row>
    <row r="1318" spans="2:16" x14ac:dyDescent="0.3">
      <c r="B1318" s="5" t="str">
        <f t="shared" si="777"/>
        <v>SPS3</v>
      </c>
      <c r="C1318" s="5" t="str">
        <f t="shared" si="790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9.268241187047414E-3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1.6031081679144018E-2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2.1900635940819615E-2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0.80335436686124639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0.71064895943496842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0.76844291235908291</v>
      </c>
    </row>
    <row r="1319" spans="2:16" x14ac:dyDescent="0.3">
      <c r="B1319" s="5" t="str">
        <f t="shared" si="777"/>
        <v>SPS3</v>
      </c>
      <c r="C1319" s="5" t="str">
        <f t="shared" si="790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4.7772045191947146E-4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1.7868870864397855E-3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3.5639902025774383E-3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4.0900753443789674E-4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8.5652136718215659E-4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5.9301972006228201E-4</v>
      </c>
    </row>
    <row r="1320" spans="2:16" x14ac:dyDescent="0.3">
      <c r="B1320" s="5" t="str">
        <f t="shared" si="777"/>
        <v>SPS3</v>
      </c>
      <c r="C1320" s="5" t="str">
        <f t="shared" si="790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791">SUM(G1321:G1324)</f>
        <v>0</v>
      </c>
      <c r="H1320" s="1">
        <f t="shared" si="791"/>
        <v>0</v>
      </c>
      <c r="I1320" s="1">
        <f t="shared" si="791"/>
        <v>0</v>
      </c>
      <c r="J1320" s="1">
        <f t="shared" si="791"/>
        <v>7.9353464243166172E-4</v>
      </c>
      <c r="K1320" s="1">
        <f t="shared" si="791"/>
        <v>5.3985264986936175E-3</v>
      </c>
    </row>
    <row r="1321" spans="2:16" x14ac:dyDescent="0.3">
      <c r="B1321" s="5" t="str">
        <f t="shared" si="777"/>
        <v>SPS3</v>
      </c>
      <c r="C1321" s="5" t="str">
        <f t="shared" si="790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0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2.4541829846044723E-4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1.3959378036574987E-3</v>
      </c>
    </row>
    <row r="1322" spans="2:16" x14ac:dyDescent="0.3">
      <c r="B1322" s="5" t="str">
        <f t="shared" si="777"/>
        <v>SPS3</v>
      </c>
      <c r="C1322" s="5" t="str">
        <f t="shared" si="790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0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1.8436806672056264E-4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1.3988021695370419E-3</v>
      </c>
    </row>
    <row r="1323" spans="2:16" x14ac:dyDescent="0.3">
      <c r="B1323" s="5" t="str">
        <f t="shared" si="777"/>
        <v>SPS3</v>
      </c>
      <c r="C1323" s="5" t="str">
        <f t="shared" si="790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0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2.1762846408906387E-4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2.4598692146645777E-3</v>
      </c>
    </row>
    <row r="1324" spans="2:16" x14ac:dyDescent="0.3">
      <c r="B1324" s="5" t="str">
        <f t="shared" si="777"/>
        <v>SPS3</v>
      </c>
      <c r="C1324" s="5" t="str">
        <f t="shared" si="790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1.4611981316158795E-4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1.4391731083449917E-4</v>
      </c>
    </row>
    <row r="1325" spans="2:16" x14ac:dyDescent="0.3">
      <c r="B1325" s="5" t="str">
        <f t="shared" si="777"/>
        <v>SPS3</v>
      </c>
      <c r="C1325" s="5" t="str">
        <f t="shared" si="790"/>
        <v>CH</v>
      </c>
      <c r="D1325" t="s">
        <v>1318</v>
      </c>
      <c r="E1325" t="s">
        <v>8</v>
      </c>
      <c r="F1325" s="1">
        <f>SUM(F1330:F1338)</f>
        <v>0.75126708736175996</v>
      </c>
      <c r="G1325" s="1">
        <f t="shared" ref="G1325:K1325" si="792">SUM(G1330:G1338)</f>
        <v>1.295865415390653</v>
      </c>
      <c r="H1325" s="1">
        <f t="shared" si="792"/>
        <v>2.228531991205887</v>
      </c>
      <c r="I1325" s="1">
        <f t="shared" si="792"/>
        <v>6.868383688244173E-5</v>
      </c>
      <c r="J1325" s="1">
        <f t="shared" si="792"/>
        <v>0.23989478879401513</v>
      </c>
      <c r="K1325" s="1">
        <f t="shared" si="792"/>
        <v>0.14389146341576411</v>
      </c>
    </row>
    <row r="1326" spans="2:16" x14ac:dyDescent="0.3">
      <c r="B1326" s="5" t="str">
        <f t="shared" si="777"/>
        <v>SPS3</v>
      </c>
      <c r="C1326" s="5" t="str">
        <f t="shared" si="790"/>
        <v>CH</v>
      </c>
      <c r="D1326" t="s">
        <v>1319</v>
      </c>
      <c r="E1326" t="s">
        <v>8</v>
      </c>
      <c r="F1326" s="1">
        <f>F1325-F1327</f>
        <v>0.7330026227462012</v>
      </c>
      <c r="G1326" s="1">
        <f t="shared" ref="G1326:K1326" si="793">G1325-G1327</f>
        <v>1.2615465871773657</v>
      </c>
      <c r="H1326" s="1">
        <f t="shared" si="793"/>
        <v>2.1539999967067152</v>
      </c>
      <c r="I1326" s="1">
        <f t="shared" si="793"/>
        <v>6.4848130199863098E-5</v>
      </c>
      <c r="J1326" s="1">
        <f t="shared" si="793"/>
        <v>0.21918531617923531</v>
      </c>
      <c r="K1326" s="1">
        <f t="shared" si="793"/>
        <v>-2.3307026110688744E-2</v>
      </c>
    </row>
    <row r="1327" spans="2:16" x14ac:dyDescent="0.3">
      <c r="B1327" s="5" t="str">
        <f t="shared" si="777"/>
        <v>SPS3</v>
      </c>
      <c r="C1327" s="5" t="str">
        <f t="shared" si="790"/>
        <v>CH</v>
      </c>
      <c r="D1327" t="s">
        <v>1320</v>
      </c>
      <c r="E1327" t="s">
        <v>8</v>
      </c>
      <c r="F1327" s="1">
        <f>SUM(F1328:F1329)</f>
        <v>1.8264464615558747E-2</v>
      </c>
      <c r="G1327" s="1">
        <f t="shared" ref="G1327" si="794">SUM(G1328:G1329)</f>
        <v>3.4318828213287432E-2</v>
      </c>
      <c r="H1327" s="1">
        <f t="shared" ref="H1327" si="795">SUM(H1328:H1329)</f>
        <v>7.4531994499171902E-2</v>
      </c>
      <c r="I1327" s="1">
        <f t="shared" ref="I1327" si="796">SUM(I1328:I1329)</f>
        <v>3.8357066825786275E-6</v>
      </c>
      <c r="J1327" s="1">
        <f t="shared" ref="J1327" si="797">SUM(J1328:J1329)</f>
        <v>2.070947261477981E-2</v>
      </c>
      <c r="K1327" s="1">
        <f t="shared" ref="K1327" si="798">SUM(K1328:K1329)</f>
        <v>0.16719848952645286</v>
      </c>
    </row>
    <row r="1328" spans="2:16" x14ac:dyDescent="0.3">
      <c r="B1328" s="5" t="str">
        <f t="shared" si="777"/>
        <v>SPS3</v>
      </c>
      <c r="C1328" s="5" t="str">
        <f t="shared" si="790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1.8264464615558747E-2</v>
      </c>
      <c r="G1328" s="1">
        <f>[1]Transport!C$26/SUM([1]Transport!C$22,[1]Transport!C$26)*G1325*(G$33+G$580)/(G$33+G$580+G$36)</f>
        <v>3.4318828213287432E-2</v>
      </c>
      <c r="H1328" s="1">
        <f>[1]Transport!D$26/SUM([1]Transport!D$22,[1]Transport!D$26)*H1325*(H$33+H$580)/(H$33+H$580+H$36)</f>
        <v>7.4531994499171902E-2</v>
      </c>
      <c r="I1328" s="1">
        <f>[1]Transport!E$26/SUM([1]Transport!E$22,[1]Transport!E$26)*I1325*(I$33+I$580)/(I$33+I$580+I$36)</f>
        <v>3.8357066825786275E-6</v>
      </c>
      <c r="J1328" s="1">
        <f>[1]Transport!F$26/SUM([1]Transport!F$22,[1]Transport!F$26)*J1325*(J$33+J$580)/(J$33+J$580+J$36)</f>
        <v>1.4463335809736097E-2</v>
      </c>
      <c r="K1328" s="1">
        <f>[1]Transport!G$26/SUM([1]Transport!G$22,[1]Transport!G$26)*K1325*(K$33+K$580)/(K$33+K$580+K$36)</f>
        <v>2.5917276285399533E-2</v>
      </c>
    </row>
    <row r="1329" spans="2:11" x14ac:dyDescent="0.3">
      <c r="B1329" s="5" t="str">
        <f t="shared" si="777"/>
        <v>SPS3</v>
      </c>
      <c r="C1329" s="5" t="str">
        <f t="shared" si="790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6.2461368050437133E-3</v>
      </c>
      <c r="K1329" s="1">
        <f>(K$36+K$716)/([1]Transport!G$22+[1]Transport!G$26)*K1325</f>
        <v>0.14128121324105333</v>
      </c>
    </row>
    <row r="1330" spans="2:11" x14ac:dyDescent="0.3">
      <c r="B1330" s="5" t="str">
        <f t="shared" si="777"/>
        <v>SPS3</v>
      </c>
      <c r="C1330" s="5" t="str">
        <f t="shared" si="790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2.5668074370462139E-2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2.9084147439074844E-2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2.9738756806055175E-6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1.8865275351349832E-2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9.4846048411958733E-2</v>
      </c>
    </row>
    <row r="1331" spans="2:11" x14ac:dyDescent="0.3">
      <c r="B1331" s="5" t="str">
        <f t="shared" si="777"/>
        <v>SPS3</v>
      </c>
      <c r="C1331" s="5" t="str">
        <f t="shared" si="790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2.186040358100088E-3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4.0613848524179283E-3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0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8.9436656318518312E-3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4.4776189888276301E-3</v>
      </c>
    </row>
    <row r="1332" spans="2:11" x14ac:dyDescent="0.3">
      <c r="B1332" s="5" t="str">
        <f t="shared" ref="B1332:B1395" si="799">B1331</f>
        <v>SPS3</v>
      </c>
      <c r="C1332" s="5" t="str">
        <f t="shared" si="790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3.7586794876092264E-3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6.3566708190868331E-3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6.3696380550845407E-7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0.21040912706510143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4.3816618115294921E-2</v>
      </c>
    </row>
    <row r="1333" spans="2:11" x14ac:dyDescent="0.3">
      <c r="B1333" s="5" t="str">
        <f t="shared" si="799"/>
        <v>SPS3</v>
      </c>
      <c r="C1333" s="5" t="str">
        <f t="shared" si="790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3.5085535781232845E-4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7.0412332634644029E-4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1.489505164444564E-6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7.5012351897219291E-4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2.3961263319207714E-4</v>
      </c>
    </row>
    <row r="1334" spans="2:11" x14ac:dyDescent="0.3">
      <c r="B1334" s="5" t="str">
        <f t="shared" si="799"/>
        <v>SPS3</v>
      </c>
      <c r="C1334" s="5" t="str">
        <f t="shared" si="790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1.7319591506781178E-2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1.7313893910741208E-2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1.7215166339160915E-2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3">
      <c r="B1335" s="5" t="str">
        <f t="shared" si="799"/>
        <v>SPS3</v>
      </c>
      <c r="C1335" s="5" t="str">
        <f t="shared" si="790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4.1845695811638657E-4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0.21593321251091252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0.39039130609236744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3.6842197174189354E-5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9.6357487789259816E-5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8.9821071515644826E-5</v>
      </c>
    </row>
    <row r="1336" spans="2:11" x14ac:dyDescent="0.3">
      <c r="B1336" s="5" t="str">
        <f t="shared" si="799"/>
        <v>SPS3</v>
      </c>
      <c r="C1336" s="5" t="str">
        <f t="shared" si="790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0.10233368662745813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0.12776749511624302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0.21303732634858552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1.4724432739327329E-4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1.0475382584411808E-4</v>
      </c>
    </row>
    <row r="1337" spans="2:11" x14ac:dyDescent="0.3">
      <c r="B1337" s="5" t="str">
        <f t="shared" si="799"/>
        <v>SPS3</v>
      </c>
      <c r="C1337" s="5" t="str">
        <f t="shared" si="790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0.61868800274463631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0.89900045902656955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1.5632903166693324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2.6741295057693844E-5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2.999862804543129E-4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1.576923721664417E-4</v>
      </c>
    </row>
    <row r="1338" spans="2:11" x14ac:dyDescent="0.3">
      <c r="B1338" s="5" t="str">
        <f t="shared" si="799"/>
        <v>SPS3</v>
      </c>
      <c r="C1338" s="5" t="str">
        <f t="shared" si="790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1.2507349524767919E-2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3.8867052522029324E-3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4.3915493195147677E-3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3.8300913110302071E-4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1.5929799696450968E-4</v>
      </c>
    </row>
    <row r="1339" spans="2:11" x14ac:dyDescent="0.3">
      <c r="B1339" s="5" t="str">
        <f t="shared" si="799"/>
        <v>SPS3</v>
      </c>
      <c r="C1339" s="5" t="str">
        <f t="shared" si="790"/>
        <v>CH</v>
      </c>
      <c r="D1339" t="s">
        <v>1344</v>
      </c>
      <c r="E1339" t="s">
        <v>8</v>
      </c>
      <c r="F1339" s="1">
        <f>SUM(F1344:F1348)</f>
        <v>3.0800095233666765E-4</v>
      </c>
      <c r="G1339" s="1">
        <f t="shared" ref="G1339:K1339" si="800">SUM(G1344:G1348)</f>
        <v>6.0061901077253423E-3</v>
      </c>
      <c r="H1339" s="1">
        <f t="shared" si="800"/>
        <v>2.2131926749127541E-2</v>
      </c>
      <c r="I1339" s="1">
        <f t="shared" si="800"/>
        <v>5.6904208448472319E-5</v>
      </c>
      <c r="J1339" s="1">
        <f t="shared" si="800"/>
        <v>6.1882883999419549E-4</v>
      </c>
      <c r="K1339" s="1">
        <f t="shared" si="800"/>
        <v>4.6676010491547408E-4</v>
      </c>
    </row>
    <row r="1340" spans="2:11" x14ac:dyDescent="0.3">
      <c r="B1340" s="5" t="str">
        <f t="shared" si="799"/>
        <v>SPS3</v>
      </c>
      <c r="C1340" s="5" t="str">
        <f t="shared" si="790"/>
        <v>CH</v>
      </c>
      <c r="D1340" t="s">
        <v>1345</v>
      </c>
      <c r="E1340" t="s">
        <v>8</v>
      </c>
      <c r="F1340" s="1">
        <f>F1339-F1341</f>
        <v>2.824219963283932E-4</v>
      </c>
      <c r="G1340" s="1">
        <f t="shared" ref="G1340:K1340" si="801">G1339-G1341</f>
        <v>5.4479095513090582E-3</v>
      </c>
      <c r="H1340" s="1">
        <f t="shared" si="801"/>
        <v>2.0158466184120424E-2</v>
      </c>
      <c r="I1340" s="1">
        <f t="shared" si="801"/>
        <v>4.7039404678239928E-5</v>
      </c>
      <c r="J1340" s="1">
        <f t="shared" si="801"/>
        <v>-3.1142423521838066E-3</v>
      </c>
      <c r="K1340" s="1">
        <f t="shared" si="801"/>
        <v>-0.10943535216380414</v>
      </c>
    </row>
    <row r="1341" spans="2:11" x14ac:dyDescent="0.3">
      <c r="B1341" s="5" t="str">
        <f t="shared" si="799"/>
        <v>SPS3</v>
      </c>
      <c r="C1341" s="5" t="str">
        <f t="shared" si="790"/>
        <v>CH</v>
      </c>
      <c r="D1341" t="s">
        <v>1346</v>
      </c>
      <c r="E1341" t="s">
        <v>8</v>
      </c>
      <c r="F1341" s="1">
        <f>SUM(F1342:F1343)</f>
        <v>2.5578956008274431E-5</v>
      </c>
      <c r="G1341" s="1">
        <f t="shared" ref="G1341" si="802">SUM(G1342:G1343)</f>
        <v>5.5828055641628368E-4</v>
      </c>
      <c r="H1341" s="1">
        <f t="shared" ref="H1341" si="803">SUM(H1342:H1343)</f>
        <v>1.9734605650071173E-3</v>
      </c>
      <c r="I1341" s="1">
        <f t="shared" ref="I1341" si="804">SUM(I1342:I1343)</f>
        <v>9.864803770232391E-6</v>
      </c>
      <c r="J1341" s="1">
        <f t="shared" ref="J1341" si="805">SUM(J1342:J1343)</f>
        <v>3.7330711921780019E-3</v>
      </c>
      <c r="K1341" s="1">
        <f t="shared" ref="K1341" si="806">SUM(K1342:K1343)</f>
        <v>0.10990211226871961</v>
      </c>
    </row>
    <row r="1342" spans="2:11" x14ac:dyDescent="0.3">
      <c r="B1342" s="5" t="str">
        <f t="shared" si="799"/>
        <v>SPS3</v>
      </c>
      <c r="C1342" s="5" t="str">
        <f t="shared" si="790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2.5578956008274431E-5</v>
      </c>
      <c r="G1342" s="1">
        <f>[1]Transport!C$27/SUM([1]Transport!C$24,[1]Transport!C$27)*G1339*(G$45+G$612)/(G$45+G$612+G$47)</f>
        <v>5.5828055641628368E-4</v>
      </c>
      <c r="H1342" s="1">
        <f>[1]Transport!D$27/SUM([1]Transport!D$24,[1]Transport!D$27)*H1339*(H$45+H$612)/(H$45+H$612+H$47)</f>
        <v>1.9734605650071173E-3</v>
      </c>
      <c r="I1342" s="1">
        <f>[1]Transport!E$27/SUM([1]Transport!E$24,[1]Transport!E$27)*I1339*(I$45+I$612)/(I$45+I$612+I$47)</f>
        <v>9.864803770232391E-6</v>
      </c>
      <c r="J1342" s="1">
        <f>[1]Transport!F$27/SUM([1]Transport!F$24,[1]Transport!F$27)*J1339*(J$45+J$612)/(J$45+J$612+J$47)</f>
        <v>1.5832513569838538E-4</v>
      </c>
      <c r="K1342" s="1">
        <f>[1]Transport!G$27/SUM([1]Transport!G$24,[1]Transport!G$27)*K1339*(K$45+K$612)/(K$45+K$612+K$47)</f>
        <v>1.1428761943917473E-4</v>
      </c>
    </row>
    <row r="1343" spans="2:11" x14ac:dyDescent="0.3">
      <c r="B1343" s="5" t="str">
        <f t="shared" si="799"/>
        <v>SPS3</v>
      </c>
      <c r="C1343" s="5" t="str">
        <f t="shared" si="790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3.5747460564796167E-3</v>
      </c>
      <c r="K1343" s="1">
        <f>(K$47+K$714)/([1]Transport!G$24+[1]Transport!G$27)*K1339</f>
        <v>0.10978782464928044</v>
      </c>
    </row>
    <row r="1344" spans="2:11" x14ac:dyDescent="0.3">
      <c r="B1344" s="5" t="str">
        <f t="shared" si="799"/>
        <v>SPS3</v>
      </c>
      <c r="C1344" s="5" t="str">
        <f t="shared" si="790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3.0800095233666765E-4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3.1962484401485314E-4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3.177715332506028E-4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3">
      <c r="B1345" s="5" t="str">
        <f t="shared" si="799"/>
        <v>SPS3</v>
      </c>
      <c r="C1345" s="5" t="str">
        <f t="shared" si="790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2.1925836580754814E-3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5.054081532910773E-3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3.8170882430301216E-5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9.2405995799547578E-5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7.8204770245483577E-5</v>
      </c>
    </row>
    <row r="1346" spans="2:11" x14ac:dyDescent="0.3">
      <c r="B1346" s="5" t="str">
        <f t="shared" si="799"/>
        <v>SPS3</v>
      </c>
      <c r="C1346" s="5" t="str">
        <f t="shared" si="790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1.499208286037935E-3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5.9249579295681193E-3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5.6511606778645485E-6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1.2254116204463679E-4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1.0086415412223575E-4</v>
      </c>
    </row>
    <row r="1347" spans="2:11" x14ac:dyDescent="0.3">
      <c r="B1347" s="5" t="str">
        <f t="shared" si="799"/>
        <v>SPS3</v>
      </c>
      <c r="C1347" s="5" t="str">
        <f t="shared" si="790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1.733350556078254E-3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1.0123906414913317E-2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1.3082165340306561E-5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2.0125669001187877E-4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1.5354152506953561E-4</v>
      </c>
    </row>
    <row r="1348" spans="2:11" x14ac:dyDescent="0.3">
      <c r="B1348" s="5" t="str">
        <f t="shared" si="799"/>
        <v>SPS3</v>
      </c>
      <c r="C1348" s="5" t="str">
        <f t="shared" si="790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2.6142276351881808E-4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7.1120933848472742E-4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2.0262499213813238E-4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1.3414965547821914E-4</v>
      </c>
    </row>
    <row r="1349" spans="2:11" x14ac:dyDescent="0.3">
      <c r="B1349" s="5" t="str">
        <f t="shared" si="799"/>
        <v>SPS3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0.29571413715652906</v>
      </c>
      <c r="G1349" s="3">
        <f t="shared" ref="G1349:K1349" si="807">SUM(G1350:G1372)</f>
        <v>0.30265767935106164</v>
      </c>
      <c r="H1349" s="3">
        <f t="shared" si="807"/>
        <v>0.309289656721499</v>
      </c>
      <c r="I1349" s="3">
        <f t="shared" si="807"/>
        <v>0.32292070276767304</v>
      </c>
      <c r="J1349" s="3">
        <f t="shared" si="807"/>
        <v>0.35137562939018641</v>
      </c>
      <c r="K1349" s="3">
        <f t="shared" si="807"/>
        <v>0.3757951919067945</v>
      </c>
    </row>
    <row r="1350" spans="2:11" x14ac:dyDescent="0.3">
      <c r="B1350" s="5" t="str">
        <f t="shared" si="799"/>
        <v>SPS3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1.9286010710867314E-3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1.6384144075703732E-3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1.0165239822246368E-3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3">
      <c r="B1351" s="5" t="str">
        <f t="shared" si="799"/>
        <v>SPS3</v>
      </c>
      <c r="C1351" s="5" t="str">
        <f t="shared" ref="C1351:C1372" si="808">C1350</f>
        <v>CH</v>
      </c>
      <c r="D1351" t="s">
        <v>1351</v>
      </c>
      <c r="E1351" t="str">
        <f t="shared" ref="E1351:E1372" si="809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1.473188943261371E-7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2.6247910562609911E-3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5.5037483634014246E-3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0.10983364394349759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0.11550862933352236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0.10610012187867886</v>
      </c>
    </row>
    <row r="1352" spans="2:11" x14ac:dyDescent="0.3">
      <c r="B1352" s="5" t="str">
        <f t="shared" si="799"/>
        <v>SPS3</v>
      </c>
      <c r="C1352" s="5" t="str">
        <f t="shared" si="808"/>
        <v>CH</v>
      </c>
      <c r="D1352" t="s">
        <v>1352</v>
      </c>
      <c r="E1352" t="str">
        <f t="shared" si="809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4.5848807802158204E-4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1.2320507078672827E-3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2.5451238834644616E-3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3.9678191106876759E-2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4.1835705406466479E-2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4.5169249687422058E-2</v>
      </c>
    </row>
    <row r="1353" spans="2:11" x14ac:dyDescent="0.3">
      <c r="B1353" s="5" t="str">
        <f t="shared" si="799"/>
        <v>SPS3</v>
      </c>
      <c r="C1353" s="5" t="str">
        <f t="shared" si="808"/>
        <v>CH</v>
      </c>
      <c r="D1353" t="s">
        <v>1353</v>
      </c>
      <c r="E1353" t="str">
        <f t="shared" si="809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1.6958138634138738E-3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2.9630197190032618E-3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4.1272967140248001E-3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0.17334067689344917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0.16820539271410775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0.19699022121061824</v>
      </c>
    </row>
    <row r="1354" spans="2:11" x14ac:dyDescent="0.3">
      <c r="B1354" s="5" t="str">
        <f t="shared" si="799"/>
        <v>SPS3</v>
      </c>
      <c r="C1354" s="5" t="str">
        <f t="shared" si="808"/>
        <v>CH</v>
      </c>
      <c r="D1354" t="s">
        <v>1354</v>
      </c>
      <c r="E1354" t="str">
        <f t="shared" si="809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5.8275735625498247E-5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2.2365277624424433E-4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4.5936631252539245E-4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5.4812247446028995E-5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1.3422687657591622E-4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1.0049292428440143E-4</v>
      </c>
    </row>
    <row r="1355" spans="2:11" x14ac:dyDescent="0.3">
      <c r="B1355" s="5" t="str">
        <f t="shared" si="799"/>
        <v>SPS3</v>
      </c>
      <c r="C1355" s="5" t="str">
        <f t="shared" si="808"/>
        <v>CH</v>
      </c>
      <c r="D1355" t="s">
        <v>1355</v>
      </c>
      <c r="E1355" t="str">
        <f t="shared" si="809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0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6.3012927782688335E-5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4.2035659222987217E-4</v>
      </c>
    </row>
    <row r="1356" spans="2:11" x14ac:dyDescent="0.3">
      <c r="B1356" s="5" t="str">
        <f t="shared" si="799"/>
        <v>SPS3</v>
      </c>
      <c r="C1356" s="5" t="str">
        <f t="shared" si="808"/>
        <v>CH</v>
      </c>
      <c r="D1356" t="s">
        <v>1356</v>
      </c>
      <c r="E1356" t="str">
        <f t="shared" si="809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0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3.4512993113716254E-5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3.0350107860714669E-4</v>
      </c>
    </row>
    <row r="1357" spans="2:11" x14ac:dyDescent="0.3">
      <c r="B1357" s="5" t="str">
        <f t="shared" si="799"/>
        <v>SPS3</v>
      </c>
      <c r="C1357" s="5" t="str">
        <f t="shared" si="808"/>
        <v>CH</v>
      </c>
      <c r="D1357" t="s">
        <v>1357</v>
      </c>
      <c r="E1357" t="str">
        <f t="shared" si="809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0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2.761812419075484E-5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3.5942946311914604E-4</v>
      </c>
    </row>
    <row r="1358" spans="2:11" x14ac:dyDescent="0.3">
      <c r="B1358" s="5" t="str">
        <f t="shared" si="799"/>
        <v>SPS3</v>
      </c>
      <c r="C1358" s="5" t="str">
        <f t="shared" si="808"/>
        <v>CH</v>
      </c>
      <c r="D1358" t="s">
        <v>1358</v>
      </c>
      <c r="E1358" t="str">
        <f t="shared" si="809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1.2375907234297061E-5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1.3861530890840757E-5</v>
      </c>
    </row>
    <row r="1359" spans="2:11" x14ac:dyDescent="0.3">
      <c r="B1359" s="5" t="str">
        <f t="shared" si="799"/>
        <v>SPS3</v>
      </c>
      <c r="C1359" s="5" t="str">
        <f t="shared" si="808"/>
        <v>CH</v>
      </c>
      <c r="D1359" t="s">
        <v>1359</v>
      </c>
      <c r="E1359" t="str">
        <f t="shared" si="809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4.1714137298320547E-3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4.7555001143004703E-3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5.4827552160815043E-7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3.7744894625531271E-3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2.1204223788995447E-2</v>
      </c>
    </row>
    <row r="1360" spans="2:11" x14ac:dyDescent="0.3">
      <c r="B1360" s="5" t="str">
        <f t="shared" si="799"/>
        <v>SPS3</v>
      </c>
      <c r="C1360" s="5" t="str">
        <f t="shared" si="808"/>
        <v>CH</v>
      </c>
      <c r="D1360" t="s">
        <v>1360</v>
      </c>
      <c r="E1360" t="str">
        <f t="shared" si="809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2.546604419792294E-4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4.83827127220306E-4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0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1.2744538942593901E-3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6.7703107555336362E-4</v>
      </c>
    </row>
    <row r="1361" spans="2:11" x14ac:dyDescent="0.3">
      <c r="B1361" s="5" t="str">
        <f t="shared" si="799"/>
        <v>SPS3</v>
      </c>
      <c r="C1361" s="5" t="str">
        <f t="shared" si="808"/>
        <v>CH</v>
      </c>
      <c r="D1361" t="s">
        <v>1361</v>
      </c>
      <c r="E1361" t="str">
        <f t="shared" si="809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2.9406340251832299E-4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5.0720597119088763E-4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5.6571499918270305E-8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2.0334431528015378E-2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4.3488103981912558E-3</v>
      </c>
    </row>
    <row r="1362" spans="2:11" x14ac:dyDescent="0.3">
      <c r="B1362" s="5" t="str">
        <f t="shared" si="799"/>
        <v>SPS3</v>
      </c>
      <c r="C1362" s="5" t="str">
        <f t="shared" si="808"/>
        <v>CH</v>
      </c>
      <c r="D1362" t="s">
        <v>1362</v>
      </c>
      <c r="E1362" t="str">
        <f t="shared" si="809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1.8508125296844805E-5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3.8009006687686708E-5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8.92483607965201E-8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4.87772735278101E-5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1.7111460028256302E-5</v>
      </c>
    </row>
    <row r="1363" spans="2:11" x14ac:dyDescent="0.3">
      <c r="B1363" s="5" t="str">
        <f t="shared" si="799"/>
        <v>SPS3</v>
      </c>
      <c r="C1363" s="5" t="str">
        <f t="shared" si="808"/>
        <v>CH</v>
      </c>
      <c r="D1363" t="s">
        <v>2002</v>
      </c>
      <c r="E1363" t="str">
        <f t="shared" si="809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0.24193184387049138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0.1937354874235738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0.12086717125706119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3">
      <c r="B1364" s="5" t="str">
        <f t="shared" si="799"/>
        <v>SPS3</v>
      </c>
      <c r="C1364" s="5" t="str">
        <f t="shared" si="808"/>
        <v>CH</v>
      </c>
      <c r="D1364" t="s">
        <v>1363</v>
      </c>
      <c r="E1364" t="str">
        <f t="shared" si="809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5.1854837878496154E-5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2.7748932389318023E-2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5.1369225316587358E-2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4.5654544021796855E-6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1.5432196993213734E-5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1.5474050897930908E-5</v>
      </c>
    </row>
    <row r="1365" spans="2:11" x14ac:dyDescent="0.3">
      <c r="B1365" s="5" t="str">
        <f t="shared" si="799"/>
        <v>SPS3</v>
      </c>
      <c r="C1365" s="5" t="str">
        <f t="shared" si="808"/>
        <v>CH</v>
      </c>
      <c r="D1365" t="s">
        <v>1364</v>
      </c>
      <c r="E1365" t="str">
        <f t="shared" si="809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8.9507026374315117E-3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1.122007242149827E-2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1.928426036409913E-2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0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1.5988889492269256E-5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1.2310818097849478E-5</v>
      </c>
    </row>
    <row r="1366" spans="2:11" x14ac:dyDescent="0.3">
      <c r="B1366" s="5" t="str">
        <f t="shared" si="799"/>
        <v>SPS3</v>
      </c>
      <c r="C1366" s="5" t="str">
        <f t="shared" si="808"/>
        <v>CH</v>
      </c>
      <c r="D1366" t="s">
        <v>1365</v>
      </c>
      <c r="E1366" t="str">
        <f t="shared" si="809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3.5852677729992163E-2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5.2306931882799321E-2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9.4162620752412024E-2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1.7321988709804051E-6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2.2020052723856845E-5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1.2494582243706952E-5</v>
      </c>
    </row>
    <row r="1367" spans="2:11" x14ac:dyDescent="0.3">
      <c r="B1367" s="5" t="str">
        <f t="shared" si="799"/>
        <v>SPS3</v>
      </c>
      <c r="C1367" s="5" t="str">
        <f t="shared" si="808"/>
        <v>CH</v>
      </c>
      <c r="D1367" t="s">
        <v>1366</v>
      </c>
      <c r="E1367" t="str">
        <f t="shared" si="809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4.8336505062149721E-4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1.5132621007983788E-4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1.7281320823257651E-4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1.8809021920997917E-5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8.4759552309262062E-6</v>
      </c>
    </row>
    <row r="1368" spans="2:11" x14ac:dyDescent="0.3">
      <c r="B1368" s="5" t="str">
        <f t="shared" si="799"/>
        <v>SPS3</v>
      </c>
      <c r="C1368" s="5" t="str">
        <f t="shared" si="808"/>
        <v>CH</v>
      </c>
      <c r="D1368" t="s">
        <v>2006</v>
      </c>
      <c r="E1368" t="str">
        <f t="shared" si="809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4.3023669630719817E-3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3.5756418759585753E-3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2.2289986068891867E-3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3">
      <c r="B1369" s="5" t="str">
        <f t="shared" si="799"/>
        <v>SPS3</v>
      </c>
      <c r="C1369" s="5" t="str">
        <f t="shared" si="808"/>
        <v>CH</v>
      </c>
      <c r="D1369" t="s">
        <v>1367</v>
      </c>
      <c r="E1369" t="str">
        <f t="shared" si="809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2.6363082088802812E-4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6.2381037216339638E-4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5.0940064434684181E-6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1.3797192103124276E-5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1.2583819144486597E-5</v>
      </c>
    </row>
    <row r="1370" spans="2:11" x14ac:dyDescent="0.3">
      <c r="B1370" s="5" t="str">
        <f t="shared" si="799"/>
        <v>SPS3</v>
      </c>
      <c r="C1370" s="5" t="str">
        <f t="shared" si="808"/>
        <v>CH</v>
      </c>
      <c r="D1370" t="s">
        <v>1368</v>
      </c>
      <c r="E1370" t="str">
        <f t="shared" si="809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1.2742982018671041E-4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5.2179631950410475E-4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5.2817698434081009E-7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1.259061989675303E-5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1.1140115723512873E-5</v>
      </c>
    </row>
    <row r="1371" spans="2:11" x14ac:dyDescent="0.3">
      <c r="B1371" s="5" t="str">
        <f t="shared" si="799"/>
        <v>SPS3</v>
      </c>
      <c r="C1371" s="5" t="str">
        <f t="shared" si="808"/>
        <v>CH</v>
      </c>
      <c r="D1371" t="s">
        <v>1369</v>
      </c>
      <c r="E1371" t="str">
        <f t="shared" si="809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9.7799336410156896E-5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5.947653032767527E-4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7.6464432014939459E-7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1.3965623534494168E-5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1.1524232012665438E-5</v>
      </c>
    </row>
    <row r="1372" spans="2:11" x14ac:dyDescent="0.3">
      <c r="B1372" s="5" t="str">
        <f t="shared" si="799"/>
        <v>SPS3</v>
      </c>
      <c r="C1372" s="5" t="str">
        <f t="shared" si="808"/>
        <v>CH</v>
      </c>
      <c r="D1372" t="s">
        <v>1370</v>
      </c>
      <c r="E1372" t="str">
        <f t="shared" si="809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9.8528037762726007E-6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2.7593746233189206E-5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9.3993521718634904E-6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6.7772448246594813E-6</v>
      </c>
    </row>
    <row r="1373" spans="2:11" x14ac:dyDescent="0.3">
      <c r="B1373" s="5" t="str">
        <f t="shared" si="799"/>
        <v>SPS3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3">
      <c r="B1374" s="5" t="str">
        <f t="shared" si="799"/>
        <v>SPS3</v>
      </c>
      <c r="C1374" s="5" t="str">
        <f t="shared" ref="C1374:C1396" si="810">C1373</f>
        <v>CH</v>
      </c>
      <c r="D1374" t="s">
        <v>1372</v>
      </c>
      <c r="E1374" t="s">
        <v>1230</v>
      </c>
      <c r="F1374" s="1">
        <f>IFERROR(F1350/F1315,"-")</f>
        <v>4.1906042144660312</v>
      </c>
      <c r="G1374" s="1">
        <f t="shared" ref="G1374:K1374" si="811">IFERROR(G1350/G1315,"-")</f>
        <v>3.3737507326839347</v>
      </c>
      <c r="H1374" s="1">
        <f t="shared" si="811"/>
        <v>2.1484705100107937</v>
      </c>
      <c r="I1374" s="1" t="str">
        <f t="shared" si="811"/>
        <v>-</v>
      </c>
      <c r="J1374" s="1" t="str">
        <f t="shared" si="811"/>
        <v>-</v>
      </c>
      <c r="K1374" s="1" t="str">
        <f t="shared" si="811"/>
        <v>-</v>
      </c>
    </row>
    <row r="1375" spans="2:11" x14ac:dyDescent="0.3">
      <c r="B1375" s="5" t="str">
        <f t="shared" si="799"/>
        <v>SPS3</v>
      </c>
      <c r="C1375" s="5" t="str">
        <f t="shared" si="810"/>
        <v>CH</v>
      </c>
      <c r="D1375" t="s">
        <v>1373</v>
      </c>
      <c r="E1375" t="s">
        <v>1230</v>
      </c>
      <c r="F1375" s="1">
        <f t="shared" ref="F1375:K1375" si="812">IFERROR(F1351/F1316,"-")</f>
        <v>0.37869321701871783</v>
      </c>
      <c r="G1375" s="1">
        <f t="shared" si="812"/>
        <v>0.39242315354844276</v>
      </c>
      <c r="H1375" s="1">
        <f t="shared" si="812"/>
        <v>0.40303560809653927</v>
      </c>
      <c r="I1375" s="1">
        <f t="shared" si="812"/>
        <v>0.44707592191992701</v>
      </c>
      <c r="J1375" s="1">
        <f t="shared" si="812"/>
        <v>0.47388956606742211</v>
      </c>
      <c r="K1375" s="1">
        <f t="shared" si="812"/>
        <v>0.5281326515718896</v>
      </c>
    </row>
    <row r="1376" spans="2:11" x14ac:dyDescent="0.3">
      <c r="B1376" s="5" t="str">
        <f t="shared" si="799"/>
        <v>SPS3</v>
      </c>
      <c r="C1376" s="5" t="str">
        <f t="shared" si="810"/>
        <v>CH</v>
      </c>
      <c r="D1376" t="s">
        <v>1374</v>
      </c>
      <c r="E1376" t="s">
        <v>1230</v>
      </c>
      <c r="F1376" s="1">
        <f t="shared" ref="F1376:K1376" si="813">IFERROR(F1352/F1317,"-")</f>
        <v>0.27518070496490721</v>
      </c>
      <c r="G1376" s="1">
        <f t="shared" si="813"/>
        <v>0.28098853634585075</v>
      </c>
      <c r="H1376" s="1">
        <f t="shared" si="813"/>
        <v>0.29023906483736167</v>
      </c>
      <c r="I1376" s="1">
        <f t="shared" si="813"/>
        <v>0.32310301145565423</v>
      </c>
      <c r="J1376" s="1">
        <f t="shared" si="813"/>
        <v>0.34440431449199171</v>
      </c>
      <c r="K1376" s="1">
        <f t="shared" si="813"/>
        <v>0.38177979392105071</v>
      </c>
    </row>
    <row r="1377" spans="2:11" x14ac:dyDescent="0.3">
      <c r="B1377" s="5" t="str">
        <f t="shared" si="799"/>
        <v>SPS3</v>
      </c>
      <c r="C1377" s="5" t="str">
        <f t="shared" si="810"/>
        <v>CH</v>
      </c>
      <c r="D1377" t="s">
        <v>1375</v>
      </c>
      <c r="E1377" t="s">
        <v>1230</v>
      </c>
      <c r="F1377" s="1">
        <f t="shared" ref="F1377:K1377" si="814">IFERROR(F1353/F1318,"-")</f>
        <v>0.18297040713439933</v>
      </c>
      <c r="G1377" s="1">
        <f t="shared" si="814"/>
        <v>0.18482968138438632</v>
      </c>
      <c r="H1377" s="1">
        <f t="shared" si="814"/>
        <v>0.18845556472321959</v>
      </c>
      <c r="I1377" s="1">
        <f t="shared" si="814"/>
        <v>0.21577112672045534</v>
      </c>
      <c r="J1377" s="1">
        <f t="shared" si="814"/>
        <v>0.23669266025218216</v>
      </c>
      <c r="K1377" s="1">
        <f t="shared" si="814"/>
        <v>0.25634984465647254</v>
      </c>
    </row>
    <row r="1378" spans="2:11" x14ac:dyDescent="0.3">
      <c r="B1378" s="5" t="str">
        <f t="shared" si="799"/>
        <v>SPS3</v>
      </c>
      <c r="C1378" s="5" t="str">
        <f t="shared" si="810"/>
        <v>CH</v>
      </c>
      <c r="D1378" t="s">
        <v>1376</v>
      </c>
      <c r="E1378" t="s">
        <v>1230</v>
      </c>
      <c r="F1378" s="1">
        <f t="shared" ref="F1378:K1378" si="815">IFERROR(F1354/F1319,"-")</f>
        <v>0.12198710645807077</v>
      </c>
      <c r="G1378" s="1">
        <f t="shared" si="815"/>
        <v>0.12516335136197818</v>
      </c>
      <c r="H1378" s="1">
        <f t="shared" si="815"/>
        <v>0.12889101440098905</v>
      </c>
      <c r="I1378" s="1">
        <f t="shared" si="815"/>
        <v>0.13401280619770986</v>
      </c>
      <c r="J1378" s="1">
        <f t="shared" si="815"/>
        <v>0.15671164984185404</v>
      </c>
      <c r="K1378" s="1">
        <f t="shared" si="815"/>
        <v>0.16945966699698814</v>
      </c>
    </row>
    <row r="1379" spans="2:11" x14ac:dyDescent="0.3">
      <c r="B1379" s="5" t="str">
        <f t="shared" si="799"/>
        <v>SPS3</v>
      </c>
      <c r="C1379" s="5" t="str">
        <f t="shared" si="810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16">IFERROR(G1355/G1321,"-")</f>
        <v>-</v>
      </c>
      <c r="H1379" s="1" t="str">
        <f t="shared" si="816"/>
        <v>-</v>
      </c>
      <c r="I1379" s="1" t="str">
        <f t="shared" si="816"/>
        <v>-</v>
      </c>
      <c r="J1379" s="1">
        <f t="shared" si="816"/>
        <v>0.25675725150887146</v>
      </c>
      <c r="K1379" s="1">
        <f t="shared" si="816"/>
        <v>0.30112845366641355</v>
      </c>
    </row>
    <row r="1380" spans="2:11" x14ac:dyDescent="0.3">
      <c r="B1380" s="5" t="str">
        <f t="shared" si="799"/>
        <v>SPS3</v>
      </c>
      <c r="C1380" s="5" t="str">
        <f t="shared" si="810"/>
        <v>CH</v>
      </c>
      <c r="D1380" t="s">
        <v>1378</v>
      </c>
      <c r="E1380" t="s">
        <v>1230</v>
      </c>
      <c r="F1380" s="1" t="str">
        <f t="shared" ref="F1380:K1380" si="817">IFERROR(F1356/F1322,"-")</f>
        <v>-</v>
      </c>
      <c r="G1380" s="1" t="str">
        <f t="shared" si="817"/>
        <v>-</v>
      </c>
      <c r="H1380" s="1" t="str">
        <f t="shared" si="817"/>
        <v>-</v>
      </c>
      <c r="I1380" s="1" t="str">
        <f t="shared" si="817"/>
        <v>-</v>
      </c>
      <c r="J1380" s="1">
        <f t="shared" si="817"/>
        <v>0.18719615455981242</v>
      </c>
      <c r="K1380" s="1">
        <f t="shared" si="817"/>
        <v>0.21697212459113907</v>
      </c>
    </row>
    <row r="1381" spans="2:11" x14ac:dyDescent="0.3">
      <c r="B1381" s="5" t="str">
        <f t="shared" si="799"/>
        <v>SPS3</v>
      </c>
      <c r="C1381" s="5" t="str">
        <f t="shared" si="810"/>
        <v>CH</v>
      </c>
      <c r="D1381" t="s">
        <v>1379</v>
      </c>
      <c r="E1381" t="s">
        <v>1230</v>
      </c>
      <c r="F1381" s="1" t="str">
        <f t="shared" ref="F1381:K1381" si="818">IFERROR(F1357/F1323,"-")</f>
        <v>-</v>
      </c>
      <c r="G1381" s="1" t="str">
        <f t="shared" si="818"/>
        <v>-</v>
      </c>
      <c r="H1381" s="1" t="str">
        <f t="shared" si="818"/>
        <v>-</v>
      </c>
      <c r="I1381" s="1" t="str">
        <f t="shared" si="818"/>
        <v>-</v>
      </c>
      <c r="J1381" s="1">
        <f t="shared" si="818"/>
        <v>0.1269049262758763</v>
      </c>
      <c r="K1381" s="1">
        <f t="shared" si="818"/>
        <v>0.14611730614635829</v>
      </c>
    </row>
    <row r="1382" spans="2:11" x14ac:dyDescent="0.3">
      <c r="B1382" s="5" t="str">
        <f t="shared" si="799"/>
        <v>SPS3</v>
      </c>
      <c r="C1382" s="5" t="str">
        <f t="shared" si="810"/>
        <v>CH</v>
      </c>
      <c r="D1382" t="s">
        <v>1380</v>
      </c>
      <c r="E1382" t="s">
        <v>1230</v>
      </c>
      <c r="F1382" s="1" t="str">
        <f t="shared" ref="F1382:K1382" si="819">IFERROR(F1358/F1324,"-")</f>
        <v>-</v>
      </c>
      <c r="G1382" s="1" t="str">
        <f t="shared" si="819"/>
        <v>-</v>
      </c>
      <c r="H1382" s="1" t="str">
        <f t="shared" si="819"/>
        <v>-</v>
      </c>
      <c r="I1382" s="1" t="str">
        <f t="shared" si="819"/>
        <v>-</v>
      </c>
      <c r="J1382" s="1">
        <f t="shared" si="819"/>
        <v>8.4696982336071355E-2</v>
      </c>
      <c r="K1382" s="1">
        <f t="shared" si="819"/>
        <v>9.6315938718318089E-2</v>
      </c>
    </row>
    <row r="1383" spans="2:11" x14ac:dyDescent="0.3">
      <c r="B1383" s="5" t="str">
        <f t="shared" si="799"/>
        <v>SPS3</v>
      </c>
      <c r="C1383" s="5" t="str">
        <f t="shared" si="810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20">IFERROR(G1359/G1330,"-")</f>
        <v>0.16251369968883844</v>
      </c>
      <c r="H1383" s="1">
        <f t="shared" si="820"/>
        <v>0.16350832095945877</v>
      </c>
      <c r="I1383" s="1">
        <f t="shared" si="820"/>
        <v>0.18436396826666096</v>
      </c>
      <c r="J1383" s="1">
        <f t="shared" si="820"/>
        <v>0.2000760334665912</v>
      </c>
      <c r="K1383" s="1">
        <f t="shared" si="820"/>
        <v>0.22356465181233526</v>
      </c>
    </row>
    <row r="1384" spans="2:11" x14ac:dyDescent="0.3">
      <c r="B1384" s="5" t="str">
        <f t="shared" si="799"/>
        <v>SPS3</v>
      </c>
      <c r="C1384" s="5" t="str">
        <f t="shared" si="810"/>
        <v>CH</v>
      </c>
      <c r="D1384" t="s">
        <v>1382</v>
      </c>
      <c r="E1384" t="s">
        <v>1230</v>
      </c>
      <c r="F1384" s="1" t="str">
        <f t="shared" ref="F1384:K1384" si="821">IFERROR(F1360/F1331,"-")</f>
        <v>-</v>
      </c>
      <c r="G1384" s="1">
        <f t="shared" si="821"/>
        <v>0.11649393435744143</v>
      </c>
      <c r="H1384" s="1">
        <f t="shared" si="821"/>
        <v>0.11912860878777877</v>
      </c>
      <c r="I1384" s="1" t="str">
        <f t="shared" si="821"/>
        <v>-</v>
      </c>
      <c r="J1384" s="1">
        <f t="shared" si="821"/>
        <v>0.14249793616171985</v>
      </c>
      <c r="K1384" s="1">
        <f t="shared" si="821"/>
        <v>0.15120336885354999</v>
      </c>
    </row>
    <row r="1385" spans="2:11" x14ac:dyDescent="0.3">
      <c r="B1385" s="5" t="str">
        <f t="shared" si="799"/>
        <v>SPS3</v>
      </c>
      <c r="C1385" s="5" t="str">
        <f t="shared" si="810"/>
        <v>CH</v>
      </c>
      <c r="D1385" t="s">
        <v>1383</v>
      </c>
      <c r="E1385" t="s">
        <v>1230</v>
      </c>
      <c r="F1385" s="1" t="str">
        <f t="shared" ref="F1385:K1385" si="822">IFERROR(F1361/F1332,"-")</f>
        <v>-</v>
      </c>
      <c r="G1385" s="1">
        <f t="shared" si="822"/>
        <v>7.8235828164578927E-2</v>
      </c>
      <c r="H1385" s="1">
        <f t="shared" si="822"/>
        <v>7.9791133696577074E-2</v>
      </c>
      <c r="I1385" s="1">
        <f t="shared" si="822"/>
        <v>8.881430848823868E-2</v>
      </c>
      <c r="J1385" s="1">
        <f t="shared" si="822"/>
        <v>9.6642345375653901E-2</v>
      </c>
      <c r="K1385" s="1">
        <f t="shared" si="822"/>
        <v>9.9250252193088154E-2</v>
      </c>
    </row>
    <row r="1386" spans="2:11" x14ac:dyDescent="0.3">
      <c r="B1386" s="5" t="str">
        <f t="shared" si="799"/>
        <v>SPS3</v>
      </c>
      <c r="C1386" s="5" t="str">
        <f t="shared" si="810"/>
        <v>CH</v>
      </c>
      <c r="D1386" t="s">
        <v>1384</v>
      </c>
      <c r="E1386" t="s">
        <v>1230</v>
      </c>
      <c r="F1386" s="1" t="str">
        <f t="shared" ref="F1386:K1386" si="823">IFERROR(F1362/F1333,"-")</f>
        <v>-</v>
      </c>
      <c r="G1386" s="1">
        <f t="shared" si="823"/>
        <v>5.2751439830497758E-2</v>
      </c>
      <c r="H1386" s="1">
        <f t="shared" si="823"/>
        <v>5.3980610023116389E-2</v>
      </c>
      <c r="I1386" s="1">
        <f t="shared" si="823"/>
        <v>5.9918127796354963E-2</v>
      </c>
      <c r="J1386" s="1">
        <f t="shared" si="823"/>
        <v>6.5025655500901947E-2</v>
      </c>
      <c r="K1386" s="1">
        <f t="shared" si="823"/>
        <v>7.1413012746032858E-2</v>
      </c>
    </row>
    <row r="1387" spans="2:11" x14ac:dyDescent="0.3">
      <c r="B1387" s="5" t="str">
        <f t="shared" si="799"/>
        <v>SPS3</v>
      </c>
      <c r="C1387" s="5" t="str">
        <f t="shared" si="810"/>
        <v>CH</v>
      </c>
      <c r="D1387" t="s">
        <v>2003</v>
      </c>
      <c r="E1387" t="s">
        <v>1230</v>
      </c>
      <c r="F1387" s="1">
        <f>IFERROR(F1363/F1334,"-")</f>
        <v>13.968680714886796</v>
      </c>
      <c r="G1387" s="1">
        <f t="shared" ref="G1387:K1387" si="824">IFERROR(G1363/G1334,"-")</f>
        <v>11.189596541502661</v>
      </c>
      <c r="H1387" s="1">
        <f t="shared" si="824"/>
        <v>7.0209702814264165</v>
      </c>
      <c r="I1387" s="1" t="str">
        <f t="shared" si="824"/>
        <v>-</v>
      </c>
      <c r="J1387" s="1" t="str">
        <f t="shared" si="824"/>
        <v>-</v>
      </c>
      <c r="K1387" s="1" t="str">
        <f t="shared" si="824"/>
        <v>-</v>
      </c>
    </row>
    <row r="1388" spans="2:11" x14ac:dyDescent="0.3">
      <c r="B1388" s="5" t="str">
        <f t="shared" si="799"/>
        <v>SPS3</v>
      </c>
      <c r="C1388" s="5" t="str">
        <f t="shared" si="810"/>
        <v>CH</v>
      </c>
      <c r="D1388" t="s">
        <v>1385</v>
      </c>
      <c r="E1388" t="s">
        <v>1230</v>
      </c>
      <c r="F1388" s="1">
        <f t="shared" ref="F1388:K1388" si="825">IFERROR(F1364/F1335,"-")</f>
        <v>0.12391916748597505</v>
      </c>
      <c r="G1388" s="1">
        <f t="shared" si="825"/>
        <v>0.12850701412093191</v>
      </c>
      <c r="H1388" s="1">
        <f t="shared" si="825"/>
        <v>0.13158393774382179</v>
      </c>
      <c r="I1388" s="1">
        <f t="shared" si="825"/>
        <v>0.12391916748597501</v>
      </c>
      <c r="J1388" s="1">
        <f t="shared" si="825"/>
        <v>0.16015565938129236</v>
      </c>
      <c r="K1388" s="1">
        <f t="shared" si="825"/>
        <v>0.17227640059087554</v>
      </c>
    </row>
    <row r="1389" spans="2:11" x14ac:dyDescent="0.3">
      <c r="B1389" s="5" t="str">
        <f t="shared" si="799"/>
        <v>SPS3</v>
      </c>
      <c r="C1389" s="5" t="str">
        <f t="shared" si="810"/>
        <v>CH</v>
      </c>
      <c r="D1389" t="s">
        <v>1386</v>
      </c>
      <c r="E1389" t="s">
        <v>1230</v>
      </c>
      <c r="F1389" s="1">
        <f t="shared" ref="F1389:K1389" si="826">IFERROR(F1365/F1336,"-")</f>
        <v>8.7465847585616666E-2</v>
      </c>
      <c r="G1389" s="1">
        <f t="shared" si="826"/>
        <v>8.7816329272873625E-2</v>
      </c>
      <c r="H1389" s="1">
        <f t="shared" si="826"/>
        <v>9.0520570712312495E-2</v>
      </c>
      <c r="I1389" s="1" t="str">
        <f t="shared" si="826"/>
        <v>-</v>
      </c>
      <c r="J1389" s="1">
        <f t="shared" si="826"/>
        <v>0.10858747345535902</v>
      </c>
      <c r="K1389" s="1">
        <f t="shared" si="826"/>
        <v>0.11752141746277546</v>
      </c>
    </row>
    <row r="1390" spans="2:11" x14ac:dyDescent="0.3">
      <c r="B1390" s="5" t="str">
        <f t="shared" si="799"/>
        <v>SPS3</v>
      </c>
      <c r="C1390" s="5" t="str">
        <f t="shared" si="810"/>
        <v>CH</v>
      </c>
      <c r="D1390" t="s">
        <v>1387</v>
      </c>
      <c r="E1390" t="s">
        <v>1230</v>
      </c>
      <c r="F1390" s="1">
        <f t="shared" ref="F1390:K1390" si="827">IFERROR(F1366/F1337,"-")</f>
        <v>5.7949527986548607E-2</v>
      </c>
      <c r="G1390" s="1">
        <f t="shared" si="827"/>
        <v>5.8183431785381781E-2</v>
      </c>
      <c r="H1390" s="1">
        <f t="shared" si="827"/>
        <v>6.0233610960394202E-2</v>
      </c>
      <c r="I1390" s="1">
        <f t="shared" si="827"/>
        <v>6.477617734082132E-2</v>
      </c>
      <c r="J1390" s="1">
        <f t="shared" si="827"/>
        <v>7.340353262325422E-2</v>
      </c>
      <c r="K1390" s="1">
        <f t="shared" si="827"/>
        <v>7.9233903784002482E-2</v>
      </c>
    </row>
    <row r="1391" spans="2:11" x14ac:dyDescent="0.3">
      <c r="B1391" s="5" t="str">
        <f t="shared" si="799"/>
        <v>SPS3</v>
      </c>
      <c r="C1391" s="5" t="str">
        <f t="shared" si="810"/>
        <v>CH</v>
      </c>
      <c r="D1391" t="s">
        <v>1388</v>
      </c>
      <c r="E1391" t="s">
        <v>1230</v>
      </c>
      <c r="F1391" s="1">
        <f t="shared" ref="F1391:K1391" si="828">IFERROR(F1367/F1338,"-")</f>
        <v>3.8646481387947483E-2</v>
      </c>
      <c r="G1391" s="1">
        <f t="shared" si="828"/>
        <v>3.8934315894951957E-2</v>
      </c>
      <c r="H1391" s="1">
        <f t="shared" si="828"/>
        <v>3.9351307627275157E-2</v>
      </c>
      <c r="I1391" s="1" t="str">
        <f t="shared" si="828"/>
        <v>-</v>
      </c>
      <c r="J1391" s="1">
        <f t="shared" si="828"/>
        <v>4.9108547012522055E-2</v>
      </c>
      <c r="K1391" s="1">
        <f t="shared" si="828"/>
        <v>5.3208172057647288E-2</v>
      </c>
    </row>
    <row r="1392" spans="2:11" x14ac:dyDescent="0.3">
      <c r="B1392" s="5" t="str">
        <f t="shared" si="799"/>
        <v>SPS3</v>
      </c>
      <c r="C1392" s="5" t="str">
        <f t="shared" si="810"/>
        <v>CH</v>
      </c>
      <c r="D1392" t="s">
        <v>2007</v>
      </c>
      <c r="E1392" t="s">
        <v>1230</v>
      </c>
      <c r="F1392" s="1">
        <f>IFERROR(F1368/F1344,"-")</f>
        <v>13.968680714886812</v>
      </c>
      <c r="G1392" s="1">
        <f t="shared" ref="G1392:K1392" si="829">IFERROR(G1368/G1344,"-")</f>
        <v>11.186996076539073</v>
      </c>
      <c r="H1392" s="1">
        <f t="shared" si="829"/>
        <v>7.0144691190174706</v>
      </c>
      <c r="I1392" s="1" t="str">
        <f t="shared" si="829"/>
        <v>-</v>
      </c>
      <c r="J1392" s="1" t="str">
        <f t="shared" si="829"/>
        <v>-</v>
      </c>
      <c r="K1392" s="1" t="str">
        <f t="shared" si="829"/>
        <v>-</v>
      </c>
    </row>
    <row r="1393" spans="2:11" x14ac:dyDescent="0.3">
      <c r="B1393" s="5" t="str">
        <f t="shared" si="799"/>
        <v>SPS3</v>
      </c>
      <c r="C1393" s="5" t="str">
        <f t="shared" si="810"/>
        <v>CH</v>
      </c>
      <c r="D1393" t="s">
        <v>1389</v>
      </c>
      <c r="E1393" t="s">
        <v>1230</v>
      </c>
      <c r="F1393" s="1" t="str">
        <f t="shared" ref="F1393:K1393" si="830">IFERROR(F1369/F1345,"-")</f>
        <v>-</v>
      </c>
      <c r="G1393" s="1">
        <f t="shared" si="830"/>
        <v>0.1202375197484722</v>
      </c>
      <c r="H1393" s="1">
        <f t="shared" si="830"/>
        <v>0.12342704962342153</v>
      </c>
      <c r="I1393" s="1">
        <f t="shared" si="830"/>
        <v>0.13345267699194294</v>
      </c>
      <c r="J1393" s="1">
        <f t="shared" si="830"/>
        <v>0.14931057215220039</v>
      </c>
      <c r="K1393" s="1">
        <f t="shared" si="830"/>
        <v>0.16090858786473231</v>
      </c>
    </row>
    <row r="1394" spans="2:11" x14ac:dyDescent="0.3">
      <c r="B1394" s="5" t="str">
        <f t="shared" si="799"/>
        <v>SPS3</v>
      </c>
      <c r="C1394" s="5" t="str">
        <f t="shared" si="810"/>
        <v>CH</v>
      </c>
      <c r="D1394" t="s">
        <v>1390</v>
      </c>
      <c r="E1394" t="s">
        <v>1230</v>
      </c>
      <c r="F1394" s="1" t="str">
        <f t="shared" ref="F1394:K1394" si="831">IFERROR(F1370/F1346,"-")</f>
        <v>-</v>
      </c>
      <c r="G1394" s="1">
        <f t="shared" si="831"/>
        <v>8.4998076233608819E-2</v>
      </c>
      <c r="H1394" s="1">
        <f t="shared" si="831"/>
        <v>8.8067514690714332E-2</v>
      </c>
      <c r="I1394" s="1">
        <f t="shared" si="831"/>
        <v>9.3463451925843447E-2</v>
      </c>
      <c r="J1394" s="1">
        <f t="shared" si="831"/>
        <v>0.10274604619929079</v>
      </c>
      <c r="K1394" s="1">
        <f t="shared" si="831"/>
        <v>0.11044672728839161</v>
      </c>
    </row>
    <row r="1395" spans="2:11" x14ac:dyDescent="0.3">
      <c r="B1395" s="5" t="str">
        <f t="shared" si="799"/>
        <v>SPS3</v>
      </c>
      <c r="C1395" s="5" t="str">
        <f t="shared" si="810"/>
        <v>CH</v>
      </c>
      <c r="D1395" t="s">
        <v>1391</v>
      </c>
      <c r="E1395" t="s">
        <v>1230</v>
      </c>
      <c r="F1395" s="1" t="str">
        <f t="shared" ref="F1395:K1395" si="832">IFERROR(F1371/F1347,"-")</f>
        <v>-</v>
      </c>
      <c r="G1395" s="1">
        <f t="shared" si="832"/>
        <v>5.6422133461237159E-2</v>
      </c>
      <c r="H1395" s="1">
        <f t="shared" si="832"/>
        <v>5.8748597517714725E-2</v>
      </c>
      <c r="I1395" s="1">
        <f t="shared" si="832"/>
        <v>5.8449369829740756E-2</v>
      </c>
      <c r="J1395" s="1">
        <f t="shared" si="832"/>
        <v>6.9392095903345496E-2</v>
      </c>
      <c r="K1395" s="1">
        <f t="shared" si="832"/>
        <v>7.5056125744787053E-2</v>
      </c>
    </row>
    <row r="1396" spans="2:11" x14ac:dyDescent="0.3">
      <c r="B1396" s="5" t="str">
        <f t="shared" ref="B1396:B1459" si="833">B1395</f>
        <v>SPS3</v>
      </c>
      <c r="C1396" s="5" t="str">
        <f t="shared" si="810"/>
        <v>CH</v>
      </c>
      <c r="D1396" t="s">
        <v>1392</v>
      </c>
      <c r="E1396" t="s">
        <v>1230</v>
      </c>
      <c r="F1396" s="1" t="str">
        <f t="shared" ref="F1396:K1396" si="834">IFERROR(F1372/F1348,"-")</f>
        <v>-</v>
      </c>
      <c r="G1396" s="1">
        <f t="shared" si="834"/>
        <v>3.7689157759834342E-2</v>
      </c>
      <c r="H1396" s="1">
        <f t="shared" si="834"/>
        <v>3.8798346337773452E-2</v>
      </c>
      <c r="I1396" s="1" t="str">
        <f t="shared" si="834"/>
        <v>-</v>
      </c>
      <c r="J1396" s="1">
        <f t="shared" si="834"/>
        <v>4.6387921216825098E-2</v>
      </c>
      <c r="K1396" s="1">
        <f t="shared" si="834"/>
        <v>5.0520031531201742E-2</v>
      </c>
    </row>
    <row r="1397" spans="2:11" x14ac:dyDescent="0.3">
      <c r="B1397" s="9" t="str">
        <f t="shared" si="833"/>
        <v>SPS3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0.81901269551500944</v>
      </c>
      <c r="G1397" s="3">
        <f t="shared" ref="G1397" si="835">G1398+G1404+G1409+G1423</f>
        <v>0.83800122890134754</v>
      </c>
      <c r="H1397" s="3">
        <f t="shared" ref="H1397" si="836">H1398+H1404+H1409+H1423</f>
        <v>1.0248750007984468</v>
      </c>
      <c r="I1397" s="3">
        <f t="shared" ref="I1397" si="837">I1398+I1404+I1409+I1423</f>
        <v>0.41723546035726755</v>
      </c>
      <c r="J1397" s="3">
        <f t="shared" ref="J1397" si="838">J1398+J1404+J1409+J1423</f>
        <v>0.40932945779103458</v>
      </c>
      <c r="K1397" s="3">
        <f t="shared" ref="K1397" si="839">K1398+K1404+K1409+K1423</f>
        <v>0.34723735840752129</v>
      </c>
    </row>
    <row r="1398" spans="2:11" x14ac:dyDescent="0.3">
      <c r="B1398" s="5" t="str">
        <f t="shared" si="833"/>
        <v>SPS3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2.9756151553868826E-3</v>
      </c>
      <c r="G1398" s="1">
        <f t="shared" ref="G1398" si="840">SUM(G1399:G1403)</f>
        <v>6.969821895638253E-3</v>
      </c>
      <c r="H1398" s="1">
        <f t="shared" ref="H1398" si="841">SUM(H1399:H1403)</f>
        <v>1.1211266420176389E-2</v>
      </c>
      <c r="I1398" s="1">
        <f t="shared" ref="I1398" si="842">SUM(I1399:I1403)</f>
        <v>0.35284058136513485</v>
      </c>
      <c r="J1398" s="1">
        <f t="shared" ref="J1398" si="843">SUM(J1399:J1403)</f>
        <v>0.31647076453323603</v>
      </c>
      <c r="K1398" s="1">
        <f t="shared" ref="K1398" si="844">SUM(K1399:K1403)</f>
        <v>0.29177387787011511</v>
      </c>
    </row>
    <row r="1399" spans="2:11" x14ac:dyDescent="0.3">
      <c r="B1399" s="5" t="str">
        <f t="shared" si="833"/>
        <v>SPS3</v>
      </c>
      <c r="C1399" s="5" t="str">
        <f t="shared" ref="C1399:C1432" si="845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3">
      <c r="B1400" s="5" t="str">
        <f t="shared" si="833"/>
        <v>SPS3</v>
      </c>
      <c r="C1400" s="5" t="str">
        <f t="shared" si="845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4.6168937450217254E-4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1.8746371931540914E-3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3.4147524938390058E-3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0.1181551080635234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0.12394430925827198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0.10347951512340306</v>
      </c>
    </row>
    <row r="1401" spans="2:11" x14ac:dyDescent="0.3">
      <c r="B1401" s="5" t="str">
        <f t="shared" si="833"/>
        <v>SPS3</v>
      </c>
      <c r="C1401" s="5" t="str">
        <f t="shared" si="845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1.7410640065833819E-3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2.8089164058735724E-3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4.2656825286955732E-3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0.17716254262514564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0.15999999605036611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0.1454275864470557</v>
      </c>
    </row>
    <row r="1402" spans="2:11" x14ac:dyDescent="0.3">
      <c r="B1402" s="5" t="str">
        <f t="shared" si="833"/>
        <v>SPS3</v>
      </c>
      <c r="C1402" s="5" t="str">
        <f t="shared" si="845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7.7286177430132793E-4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1.7786854589602024E-3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2.6321441571063066E-3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5.701931658924618E-2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3.1339137447224497E-2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4.236898550586287E-2</v>
      </c>
    </row>
    <row r="1403" spans="2:11" x14ac:dyDescent="0.3">
      <c r="B1403" s="5" t="str">
        <f t="shared" si="833"/>
        <v>SPS3</v>
      </c>
      <c r="C1403" s="5" t="str">
        <f t="shared" si="845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5.0758283765038636E-4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8.9868724053550396E-4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5.0361408721960967E-4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1.1873217773734621E-3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4.9779079379347042E-4</v>
      </c>
    </row>
    <row r="1404" spans="2:11" x14ac:dyDescent="0.3">
      <c r="B1404" s="5" t="str">
        <f t="shared" si="833"/>
        <v>SPS3</v>
      </c>
      <c r="C1404" s="5" t="str">
        <f t="shared" si="845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46">SUM(G1405:G1408)</f>
        <v>0</v>
      </c>
      <c r="H1404" s="1">
        <f t="shared" ref="H1404" si="847">SUM(H1405:H1408)</f>
        <v>0</v>
      </c>
      <c r="I1404" s="1">
        <f t="shared" ref="I1404" si="848">SUM(I1405:I1408)</f>
        <v>0</v>
      </c>
      <c r="J1404" s="1">
        <f t="shared" ref="J1404" si="849">SUM(J1405:J1408)</f>
        <v>3.9771307537728596E-4</v>
      </c>
      <c r="K1404" s="1">
        <f t="shared" ref="K1404" si="850">SUM(K1405:K1408)</f>
        <v>1.9189373526521973E-3</v>
      </c>
    </row>
    <row r="1405" spans="2:11" x14ac:dyDescent="0.3">
      <c r="B1405" s="5" t="str">
        <f t="shared" si="833"/>
        <v>SPS3</v>
      </c>
      <c r="C1405" s="5" t="str">
        <f t="shared" si="845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0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5.8607500752670615E-5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3.5793443937113558E-4</v>
      </c>
    </row>
    <row r="1406" spans="2:11" x14ac:dyDescent="0.3">
      <c r="B1406" s="5" t="str">
        <f t="shared" si="833"/>
        <v>SPS3</v>
      </c>
      <c r="C1406" s="5" t="str">
        <f t="shared" si="845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0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9.0823525870055828E-5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5.4721955216816107E-4</v>
      </c>
    </row>
    <row r="1407" spans="2:11" x14ac:dyDescent="0.3">
      <c r="B1407" s="5" t="str">
        <f t="shared" si="833"/>
        <v>SPS3</v>
      </c>
      <c r="C1407" s="5" t="str">
        <f t="shared" si="845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0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1.3151883242637095E-4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8.8740593100454642E-4</v>
      </c>
    </row>
    <row r="1408" spans="2:11" x14ac:dyDescent="0.3">
      <c r="B1408" s="5" t="str">
        <f t="shared" si="833"/>
        <v>SPS3</v>
      </c>
      <c r="C1408" s="5" t="str">
        <f t="shared" si="845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1.1676321632818858E-4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1.2637743010835434E-4</v>
      </c>
    </row>
    <row r="1409" spans="2:11" x14ac:dyDescent="0.3">
      <c r="B1409" s="5" t="str">
        <f t="shared" si="833"/>
        <v>SPS3</v>
      </c>
      <c r="C1409" s="5" t="str">
        <f t="shared" si="845"/>
        <v>CH</v>
      </c>
      <c r="D1409" t="s">
        <v>1407</v>
      </c>
      <c r="E1409" t="s">
        <v>8</v>
      </c>
      <c r="F1409" s="1">
        <f>SUM(F1414:F1422)</f>
        <v>0.81589432373976967</v>
      </c>
      <c r="G1409" s="1">
        <f t="shared" ref="G1409:K1409" si="851">SUM(G1414:G1422)</f>
        <v>0.82652623067149444</v>
      </c>
      <c r="H1409" s="1">
        <f t="shared" si="851"/>
        <v>1.0029728132183635</v>
      </c>
      <c r="I1409" s="1">
        <f t="shared" si="851"/>
        <v>6.436718611972235E-2</v>
      </c>
      <c r="J1409" s="1">
        <f t="shared" si="851"/>
        <v>9.226216198139002E-2</v>
      </c>
      <c r="K1409" s="1">
        <f t="shared" si="851"/>
        <v>5.344100620205857E-2</v>
      </c>
    </row>
    <row r="1410" spans="2:11" x14ac:dyDescent="0.3">
      <c r="B1410" s="5" t="str">
        <f t="shared" si="833"/>
        <v>SPS3</v>
      </c>
      <c r="C1410" s="5" t="str">
        <f t="shared" si="845"/>
        <v>CH</v>
      </c>
      <c r="D1410" t="s">
        <v>1408</v>
      </c>
      <c r="E1410" t="s">
        <v>8</v>
      </c>
      <c r="F1410" s="1">
        <f>F1409-F1411</f>
        <v>0.79605867107154027</v>
      </c>
      <c r="G1410" s="1">
        <f t="shared" ref="G1410" si="852">G1409-G1411</f>
        <v>0.8046370658035209</v>
      </c>
      <c r="H1410" s="1">
        <f t="shared" ref="H1410" si="853">H1409-H1411</f>
        <v>0.96942895363160486</v>
      </c>
      <c r="I1410" s="1">
        <f t="shared" ref="I1410" si="854">I1409-I1411</f>
        <v>6.07725464323563E-2</v>
      </c>
      <c r="J1410" s="1">
        <f t="shared" ref="J1410" si="855">J1409-J1411</f>
        <v>8.429741740924096E-2</v>
      </c>
      <c r="K1410" s="1">
        <f t="shared" ref="K1410" si="856">K1409-K1411</f>
        <v>-8.6561836078762264E-3</v>
      </c>
    </row>
    <row r="1411" spans="2:11" x14ac:dyDescent="0.3">
      <c r="B1411" s="5" t="str">
        <f t="shared" si="833"/>
        <v>SPS3</v>
      </c>
      <c r="C1411" s="5" t="str">
        <f t="shared" si="845"/>
        <v>CH</v>
      </c>
      <c r="D1411" t="s">
        <v>1409</v>
      </c>
      <c r="E1411" t="s">
        <v>8</v>
      </c>
      <c r="F1411" s="1">
        <f>SUM(F1412:F1413)</f>
        <v>1.9835652668229443E-2</v>
      </c>
      <c r="G1411" s="1">
        <f t="shared" ref="G1411" si="857">SUM(G1412:G1413)</f>
        <v>2.1889164867973522E-2</v>
      </c>
      <c r="H1411" s="1">
        <f t="shared" ref="H1411" si="858">SUM(H1412:H1413)</f>
        <v>3.3543859586758699E-2</v>
      </c>
      <c r="I1411" s="1">
        <f t="shared" ref="I1411" si="859">SUM(I1412:I1413)</f>
        <v>3.5946396873660523E-3</v>
      </c>
      <c r="J1411" s="1">
        <f t="shared" ref="J1411" si="860">SUM(J1412:J1413)</f>
        <v>7.9647445721490531E-3</v>
      </c>
      <c r="K1411" s="1">
        <f t="shared" ref="K1411" si="861">SUM(K1412:K1413)</f>
        <v>6.2097189809934797E-2</v>
      </c>
    </row>
    <row r="1412" spans="2:11" x14ac:dyDescent="0.3">
      <c r="B1412" s="5" t="str">
        <f t="shared" si="833"/>
        <v>SPS3</v>
      </c>
      <c r="C1412" s="5" t="str">
        <f t="shared" si="845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1.9835652668229443E-2</v>
      </c>
      <c r="G1412" s="1">
        <f>[1]Transport!C$26/SUM([1]Transport!C$22,[1]Transport!C$26)*G1409*(G$33+G$580)/(G$33+G$580+G$36)</f>
        <v>2.1889164867973522E-2</v>
      </c>
      <c r="H1412" s="1">
        <f>[1]Transport!D$26/SUM([1]Transport!D$22,[1]Transport!D$26)*H1409*(H$33+H$580)/(H$33+H$580+H$36)</f>
        <v>3.3543859586758699E-2</v>
      </c>
      <c r="I1412" s="1">
        <f>[1]Transport!E$26/SUM([1]Transport!E$22,[1]Transport!E$26)*I1409*(I$33+I$580)/(I$33+I$580+I$36)</f>
        <v>3.5946396873660523E-3</v>
      </c>
      <c r="J1412" s="1">
        <f>[1]Transport!F$26/SUM([1]Transport!F$22,[1]Transport!F$26)*J1409*(J$33+J$580)/(J$33+J$580+J$36)</f>
        <v>5.5625161262460969E-3</v>
      </c>
      <c r="K1412" s="1">
        <f>[1]Transport!G$26/SUM([1]Transport!G$22,[1]Transport!G$26)*K1409*(K$33+K$580)/(K$33+K$580+K$36)</f>
        <v>9.6256253833940965E-3</v>
      </c>
    </row>
    <row r="1413" spans="2:11" x14ac:dyDescent="0.3">
      <c r="B1413" s="5" t="str">
        <f t="shared" si="833"/>
        <v>SPS3</v>
      </c>
      <c r="C1413" s="5" t="str">
        <f t="shared" si="845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2.4022284459029567E-3</v>
      </c>
      <c r="K1413" s="1">
        <f>(K$36+K$716)/([1]Transport!G$22+[1]Transport!G$26)*K1409</f>
        <v>5.2471564426540697E-2</v>
      </c>
    </row>
    <row r="1414" spans="2:11" x14ac:dyDescent="0.3">
      <c r="B1414" s="5" t="str">
        <f t="shared" si="833"/>
        <v>SPS3</v>
      </c>
      <c r="C1414" s="5" t="str">
        <f t="shared" si="845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1.1239194523340766E-2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1.3727138176078449E-2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6.4309613128575957E-2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2.9938927296291142E-2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3.754966264127118E-2</v>
      </c>
    </row>
    <row r="1415" spans="2:11" x14ac:dyDescent="0.3">
      <c r="B1415" s="5" t="str">
        <f t="shared" si="833"/>
        <v>SPS3</v>
      </c>
      <c r="C1415" s="5" t="str">
        <f t="shared" si="845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1.7786222838694328E-3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3.174222617409152E-3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4.7648651014387345E-5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1.0440467656809655E-2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5.9569046617975524E-3</v>
      </c>
    </row>
    <row r="1416" spans="2:11" x14ac:dyDescent="0.3">
      <c r="B1416" s="5" t="str">
        <f t="shared" si="833"/>
        <v>SPS3</v>
      </c>
      <c r="C1416" s="5" t="str">
        <f t="shared" si="845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1.0577293628326941E-3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1.897789901993031E-3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2.018077598972177E-6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5.0481514014225064E-2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9.3368025702339954E-3</v>
      </c>
    </row>
    <row r="1417" spans="2:11" x14ac:dyDescent="0.3">
      <c r="B1417" s="5" t="str">
        <f t="shared" si="833"/>
        <v>SPS3</v>
      </c>
      <c r="C1417" s="5" t="str">
        <f t="shared" si="845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4.83212858216522E-4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9.2355279513630663E-4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8.8770527551222786E-4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2.8373289984115078E-4</v>
      </c>
    </row>
    <row r="1418" spans="2:11" x14ac:dyDescent="0.3">
      <c r="B1418" s="5" t="str">
        <f t="shared" si="833"/>
        <v>SPS3</v>
      </c>
      <c r="C1418" s="5" t="str">
        <f t="shared" si="845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6.0299606074464655E-3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6.0138954067477258E-3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5.9454063971997855E-3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3">
      <c r="B1419" s="5" t="str">
        <f t="shared" si="833"/>
        <v>SPS3</v>
      </c>
      <c r="C1419" s="5" t="str">
        <f t="shared" si="845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0.11196038820151649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0.28978954865315371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0.34830350880115601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6.4034095136238064E-6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6.2510647412268648E-5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4.6774365924765569E-5</v>
      </c>
    </row>
    <row r="1420" spans="2:11" x14ac:dyDescent="0.3">
      <c r="B1420" s="5" t="str">
        <f t="shared" si="833"/>
        <v>SPS3</v>
      </c>
      <c r="C1420" s="5" t="str">
        <f t="shared" si="845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0.51652980724205211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0.38950919425802905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0.47585974225100475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1.063524893715099E-4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8.8086934478457692E-5</v>
      </c>
    </row>
    <row r="1421" spans="2:11" x14ac:dyDescent="0.3">
      <c r="B1421" s="5" t="str">
        <f t="shared" si="833"/>
        <v>SPS3</v>
      </c>
      <c r="C1421" s="5" t="str">
        <f t="shared" si="845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0.15360574298320898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0.12192295547096201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0.14753262978894807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6.0642330771928395E-7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1.3222140518276431E-4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1.001027690521126E-4</v>
      </c>
    </row>
    <row r="1422" spans="2:11" x14ac:dyDescent="0.3">
      <c r="B1422" s="5" t="str">
        <f t="shared" si="833"/>
        <v>SPS3</v>
      </c>
      <c r="C1422" s="5" t="str">
        <f t="shared" si="845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2.7768424705545653E-2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4.731877854342645E-3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5.6088224894379566E-3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8.9642971168857309E-7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2.1246319658540223E-4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7.8939359459357636E-5</v>
      </c>
    </row>
    <row r="1423" spans="2:11" x14ac:dyDescent="0.3">
      <c r="B1423" s="5" t="str">
        <f t="shared" si="833"/>
        <v>SPS3</v>
      </c>
      <c r="C1423" s="5" t="str">
        <f t="shared" si="845"/>
        <v>CH</v>
      </c>
      <c r="D1423" t="s">
        <v>1420</v>
      </c>
      <c r="E1423" t="s">
        <v>8</v>
      </c>
      <c r="F1423" s="1">
        <f>SUM(F1428:F1432)</f>
        <v>1.4275661985281004E-4</v>
      </c>
      <c r="G1423" s="1">
        <f t="shared" ref="G1423" si="862">SUM(G1428:G1432)</f>
        <v>4.5051763342148776E-3</v>
      </c>
      <c r="H1423" s="1">
        <f t="shared" ref="H1423" si="863">SUM(H1428:H1432)</f>
        <v>1.0690921159906788E-2</v>
      </c>
      <c r="I1423" s="1">
        <f t="shared" ref="I1423" si="864">SUM(I1428:I1432)</f>
        <v>2.7692872410322117E-5</v>
      </c>
      <c r="J1423" s="1">
        <f t="shared" ref="J1423" si="865">SUM(J1428:J1432)</f>
        <v>1.9881820103126327E-4</v>
      </c>
      <c r="K1423" s="1">
        <f t="shared" ref="K1423" si="866">SUM(K1428:K1432)</f>
        <v>1.0353698269545812E-4</v>
      </c>
    </row>
    <row r="1424" spans="2:11" x14ac:dyDescent="0.3">
      <c r="B1424" s="5" t="str">
        <f t="shared" si="833"/>
        <v>SPS3</v>
      </c>
      <c r="C1424" s="5" t="str">
        <f t="shared" si="845"/>
        <v>CH</v>
      </c>
      <c r="D1424" t="s">
        <v>1421</v>
      </c>
      <c r="E1424" t="s">
        <v>8</v>
      </c>
      <c r="F1424" s="1">
        <f>F1423-F1425</f>
        <v>1.3090092502004356E-4</v>
      </c>
      <c r="G1424" s="1">
        <f t="shared" ref="G1424" si="867">G1423-G1425</f>
        <v>4.0864163040613384E-3</v>
      </c>
      <c r="H1424" s="1">
        <f t="shared" ref="H1424" si="868">H1423-H1425</f>
        <v>9.7376326572007187E-3</v>
      </c>
      <c r="I1424" s="1">
        <f t="shared" ref="I1424" si="869">I1423-I1425</f>
        <v>2.2892089487398527E-5</v>
      </c>
      <c r="J1424" s="1">
        <f t="shared" ref="J1424" si="870">J1423-J1425</f>
        <v>-1.0005481677976772E-3</v>
      </c>
      <c r="K1424" s="1">
        <f t="shared" ref="K1424" si="871">K1423-K1425</f>
        <v>-2.4275009890374032E-2</v>
      </c>
    </row>
    <row r="1425" spans="2:11" x14ac:dyDescent="0.3">
      <c r="B1425" s="5" t="str">
        <f t="shared" si="833"/>
        <v>SPS3</v>
      </c>
      <c r="C1425" s="5" t="str">
        <f t="shared" si="845"/>
        <v>CH</v>
      </c>
      <c r="D1425" t="s">
        <v>1422</v>
      </c>
      <c r="E1425" t="s">
        <v>8</v>
      </c>
      <c r="F1425" s="1">
        <f>SUM(F1426:F1427)</f>
        <v>1.1855694832766476E-5</v>
      </c>
      <c r="G1425" s="1">
        <f t="shared" ref="G1425" si="872">SUM(G1426:G1427)</f>
        <v>4.1876003015353945E-4</v>
      </c>
      <c r="H1425" s="1">
        <f t="shared" ref="H1425" si="873">SUM(H1426:H1427)</f>
        <v>9.532885027060691E-4</v>
      </c>
      <c r="I1425" s="1">
        <f t="shared" ref="I1425" si="874">SUM(I1426:I1427)</f>
        <v>4.8007829229235898E-6</v>
      </c>
      <c r="J1425" s="1">
        <f t="shared" ref="J1425" si="875">SUM(J1426:J1427)</f>
        <v>1.1993663688289406E-3</v>
      </c>
      <c r="K1425" s="1">
        <f t="shared" ref="K1425" si="876">SUM(K1426:K1427)</f>
        <v>2.4378546873069489E-2</v>
      </c>
    </row>
    <row r="1426" spans="2:11" x14ac:dyDescent="0.3">
      <c r="B1426" s="5" t="str">
        <f t="shared" si="833"/>
        <v>SPS3</v>
      </c>
      <c r="C1426" s="5" t="str">
        <f t="shared" si="845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1.1855694832766476E-5</v>
      </c>
      <c r="G1426" s="1">
        <f>[1]Transport!C$27/SUM([1]Transport!C$24,[1]Transport!C$27)*G1423*(G$45+G$612)/(G$45+G$612+G$47)</f>
        <v>4.1876003015353945E-4</v>
      </c>
      <c r="H1426" s="1">
        <f>[1]Transport!D$27/SUM([1]Transport!D$24,[1]Transport!D$27)*H1423*(H$45+H$612)/(H$45+H$612+H$47)</f>
        <v>9.532885027060691E-4</v>
      </c>
      <c r="I1426" s="1">
        <f>[1]Transport!E$27/SUM([1]Transport!E$24,[1]Transport!E$27)*I1423*(I$45+I$612)/(I$45+I$612+I$47)</f>
        <v>4.8007829229235898E-6</v>
      </c>
      <c r="J1426" s="1">
        <f>[1]Transport!F$27/SUM([1]Transport!F$24,[1]Transport!F$27)*J1423*(J$45+J$612)/(J$45+J$612+J$47)</f>
        <v>5.0866922520739138E-5</v>
      </c>
      <c r="K1426" s="1">
        <f>[1]Transport!G$27/SUM([1]Transport!G$24,[1]Transport!G$27)*K1423*(K$45+K$612)/(K$45+K$612+K$47)</f>
        <v>2.535134248099842E-5</v>
      </c>
    </row>
    <row r="1427" spans="2:11" x14ac:dyDescent="0.3">
      <c r="B1427" s="5" t="str">
        <f t="shared" si="833"/>
        <v>SPS3</v>
      </c>
      <c r="C1427" s="5" t="str">
        <f t="shared" si="845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1.1484994463082014E-3</v>
      </c>
      <c r="K1427" s="1">
        <f>(K$47+K$714)/([1]Transport!G$24+[1]Transport!G$27)*K1423</f>
        <v>2.4353195530588491E-2</v>
      </c>
    </row>
    <row r="1428" spans="2:11" x14ac:dyDescent="0.3">
      <c r="B1428" s="5" t="str">
        <f t="shared" si="833"/>
        <v>SPS3</v>
      </c>
      <c r="C1428" s="5" t="str">
        <f t="shared" si="845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1.4275661985281004E-4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1.4355287265373985E-4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1.4020512001321734E-4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3">
      <c r="B1429" s="5" t="str">
        <f t="shared" si="833"/>
        <v>SPS3</v>
      </c>
      <c r="C1429" s="5" t="str">
        <f t="shared" si="845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2.0913348196696354E-3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4.3919659801484219E-3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2.7692872410322117E-5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2.813070549173453E-5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9.1439621851232539E-6</v>
      </c>
    </row>
    <row r="1430" spans="2:11" x14ac:dyDescent="0.3">
      <c r="B1430" s="5" t="str">
        <f t="shared" si="833"/>
        <v>SPS3</v>
      </c>
      <c r="C1430" s="5" t="str">
        <f t="shared" si="845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1.0635827990341786E-3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2.9629956202303271E-3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0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3.8630023028708417E-5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2.9746141503060245E-5</v>
      </c>
    </row>
    <row r="1431" spans="2:11" x14ac:dyDescent="0.3">
      <c r="B1431" s="5" t="str">
        <f t="shared" si="833"/>
        <v>SPS3</v>
      </c>
      <c r="C1431" s="5" t="str">
        <f t="shared" si="845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8.4398290635363479E-4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2.2822995704856034E-3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0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5.1508166212642508E-5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3.3202786030606812E-5</v>
      </c>
    </row>
    <row r="1432" spans="2:11" x14ac:dyDescent="0.3">
      <c r="B1432" s="5" t="str">
        <f t="shared" si="833"/>
        <v>SPS3</v>
      </c>
      <c r="C1432" s="5" t="str">
        <f t="shared" si="845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3.6272293650368938E-4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9.1345486902921942E-4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8.0549306298177825E-5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3.1444092976667807E-5</v>
      </c>
    </row>
    <row r="1433" spans="2:11" x14ac:dyDescent="0.3">
      <c r="B1433" s="5" t="str">
        <f t="shared" si="833"/>
        <v>SPS3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0.13124272147619143</v>
      </c>
      <c r="G1433" s="3">
        <f t="shared" ref="G1433" si="877">SUM(G1434:G1456)</f>
        <v>0.13175954188717445</v>
      </c>
      <c r="H1433" s="3">
        <f t="shared" ref="H1433" si="878">SUM(H1434:H1456)</f>
        <v>0.13280123542523456</v>
      </c>
      <c r="I1433" s="3">
        <f t="shared" ref="I1433" si="879">SUM(I1434:I1456)</f>
        <v>0.13442950162926312</v>
      </c>
      <c r="J1433" s="3">
        <f t="shared" ref="J1433" si="880">SUM(J1434:J1456)</f>
        <v>0.1347809154991744</v>
      </c>
      <c r="K1433" s="3">
        <f t="shared" ref="K1433" si="881">SUM(K1434:K1456)</f>
        <v>0.13116895269064396</v>
      </c>
    </row>
    <row r="1434" spans="2:11" x14ac:dyDescent="0.3">
      <c r="B1434" s="5" t="str">
        <f t="shared" si="833"/>
        <v>SPS3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3">
      <c r="B1435" s="5" t="str">
        <f t="shared" si="833"/>
        <v>SPS3</v>
      </c>
      <c r="C1435" s="5" t="str">
        <f t="shared" ref="C1435:C1456" si="882">C1434</f>
        <v>CH</v>
      </c>
      <c r="D1435" t="s">
        <v>1430</v>
      </c>
      <c r="E1435" t="str">
        <f t="shared" ref="E1435:E1456" si="883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1.7483863449358752E-4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7.2740348506103458E-4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1.3686343046260324E-3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5.2808714286358159E-2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5.8718524268078276E-2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5.4640107742277816E-2</v>
      </c>
    </row>
    <row r="1436" spans="2:11" x14ac:dyDescent="0.3">
      <c r="B1436" s="5" t="str">
        <f t="shared" si="833"/>
        <v>SPS3</v>
      </c>
      <c r="C1436" s="5" t="str">
        <f t="shared" si="882"/>
        <v>CH</v>
      </c>
      <c r="D1436" t="s">
        <v>1431</v>
      </c>
      <c r="E1436" t="str">
        <f t="shared" si="883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4.7910722072064038E-4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7.8367420521628076E-4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1.2178438420527441E-3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5.7406954926273283E-2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5.6023299678410424E-2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5.4993843283519937E-2</v>
      </c>
    </row>
    <row r="1437" spans="2:11" x14ac:dyDescent="0.3">
      <c r="B1437" s="5" t="str">
        <f t="shared" si="833"/>
        <v>SPS3</v>
      </c>
      <c r="C1437" s="5" t="str">
        <f t="shared" si="882"/>
        <v>CH</v>
      </c>
      <c r="D1437" t="s">
        <v>1432</v>
      </c>
      <c r="E1437" t="str">
        <f t="shared" si="883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1.4141083350252781E-4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3.3080844979108012E-4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5.0004372569612747E-4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1.2278883201012539E-2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7.4418774186123544E-3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1.0894521927894134E-2</v>
      </c>
    </row>
    <row r="1438" spans="2:11" x14ac:dyDescent="0.3">
      <c r="B1438" s="5" t="str">
        <f t="shared" si="833"/>
        <v>SPS3</v>
      </c>
      <c r="C1438" s="5" t="str">
        <f t="shared" si="882"/>
        <v>CH</v>
      </c>
      <c r="D1438" t="s">
        <v>1433</v>
      </c>
      <c r="E1438" t="str">
        <f t="shared" si="883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6.4175876202807481E-5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1.1647598894868917E-4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7.0434912591596133E-5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1.868367981825537E-4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8.5070432146018701E-5</v>
      </c>
    </row>
    <row r="1439" spans="2:11" x14ac:dyDescent="0.3">
      <c r="B1439" s="5" t="str">
        <f t="shared" si="833"/>
        <v>SPS3</v>
      </c>
      <c r="C1439" s="5" t="str">
        <f t="shared" si="882"/>
        <v>CH</v>
      </c>
      <c r="D1439" t="s">
        <v>1434</v>
      </c>
      <c r="E1439" t="str">
        <f t="shared" si="883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0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1.5264297805215761E-5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1.0755917777636086E-4</v>
      </c>
    </row>
    <row r="1440" spans="2:11" x14ac:dyDescent="0.3">
      <c r="B1440" s="5" t="str">
        <f t="shared" si="833"/>
        <v>SPS3</v>
      </c>
      <c r="C1440" s="5" t="str">
        <f t="shared" si="882"/>
        <v>CH</v>
      </c>
      <c r="D1440" t="s">
        <v>1435</v>
      </c>
      <c r="E1440" t="str">
        <f t="shared" si="883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0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1.7070869032508821E-5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1.1854231272488819E-4</v>
      </c>
    </row>
    <row r="1441" spans="2:11" x14ac:dyDescent="0.3">
      <c r="B1441" s="5" t="str">
        <f t="shared" si="833"/>
        <v>SPS3</v>
      </c>
      <c r="C1441" s="5" t="str">
        <f t="shared" si="882"/>
        <v>CH</v>
      </c>
      <c r="D1441" t="s">
        <v>1436</v>
      </c>
      <c r="E1441" t="str">
        <f t="shared" si="883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0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1.672221553169146E-5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1.2960284581470865E-4</v>
      </c>
    </row>
    <row r="1442" spans="2:11" x14ac:dyDescent="0.3">
      <c r="B1442" s="5" t="str">
        <f t="shared" si="833"/>
        <v>SPS3</v>
      </c>
      <c r="C1442" s="5" t="str">
        <f t="shared" si="882"/>
        <v>CH</v>
      </c>
      <c r="D1442" t="s">
        <v>1437</v>
      </c>
      <c r="E1442" t="str">
        <f t="shared" si="883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9.9368349373945906E-6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1.2331730251519313E-5</v>
      </c>
    </row>
    <row r="1443" spans="2:11" x14ac:dyDescent="0.3">
      <c r="B1443" s="5" t="str">
        <f t="shared" si="833"/>
        <v>SPS3</v>
      </c>
      <c r="C1443" s="5" t="str">
        <f t="shared" si="882"/>
        <v>CH</v>
      </c>
      <c r="D1443" t="s">
        <v>1438</v>
      </c>
      <c r="E1443" t="str">
        <f t="shared" si="883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1.826523083510642E-3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2.2538261818943108E-3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1.1853393158741348E-2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5.8958760404072249E-3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8.2814774058633887E-3</v>
      </c>
    </row>
    <row r="1444" spans="2:11" x14ac:dyDescent="0.3">
      <c r="B1444" s="5" t="str">
        <f t="shared" si="833"/>
        <v>SPS3</v>
      </c>
      <c r="C1444" s="5" t="str">
        <f t="shared" si="882"/>
        <v>CH</v>
      </c>
      <c r="D1444" t="s">
        <v>1439</v>
      </c>
      <c r="E1444" t="str">
        <f t="shared" si="883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2.0719870758376848E-4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3.7791268087296895E-4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6.1841765610873918E-6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1.5029100060717621E-3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9.0121857250122011E-4</v>
      </c>
    </row>
    <row r="1445" spans="2:11" x14ac:dyDescent="0.3">
      <c r="B1445" s="5" t="str">
        <f t="shared" si="833"/>
        <v>SPS3</v>
      </c>
      <c r="C1445" s="5" t="str">
        <f t="shared" si="882"/>
        <v>CH</v>
      </c>
      <c r="D1445" t="s">
        <v>1440</v>
      </c>
      <c r="E1445" t="str">
        <f t="shared" si="883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8.2752332675208178E-5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1.5172158836270652E-4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1.7923416642831909E-7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4.837218877545648E-3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9.444090054860862E-4</v>
      </c>
    </row>
    <row r="1446" spans="2:11" x14ac:dyDescent="0.3">
      <c r="B1446" s="5" t="str">
        <f t="shared" si="833"/>
        <v>SPS3</v>
      </c>
      <c r="C1446" s="5" t="str">
        <f t="shared" si="882"/>
        <v>CH</v>
      </c>
      <c r="D1446" t="s">
        <v>1441</v>
      </c>
      <c r="E1446" t="str">
        <f t="shared" si="883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2.5490174015531702E-5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4.9820465252176575E-5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5.7886261679532685E-5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2.0293569198536744E-5</v>
      </c>
    </row>
    <row r="1447" spans="2:11" x14ac:dyDescent="0.3">
      <c r="B1447" s="5" t="str">
        <f t="shared" si="833"/>
        <v>SPS3</v>
      </c>
      <c r="C1447" s="5" t="str">
        <f t="shared" si="882"/>
        <v>CH</v>
      </c>
      <c r="D1447" t="s">
        <v>2117</v>
      </c>
      <c r="E1447" t="str">
        <f t="shared" si="883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5.9999613087260061E-2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4.7989241454755978E-2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2.9869378313281698E-2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3">
      <c r="B1448" s="5" t="str">
        <f t="shared" si="833"/>
        <v>SPS3</v>
      </c>
      <c r="C1448" s="5" t="str">
        <f t="shared" si="882"/>
        <v>CH</v>
      </c>
      <c r="D1448" t="s">
        <v>1442</v>
      </c>
      <c r="E1448" t="str">
        <f t="shared" si="883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1.3874038097338509E-2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3.6690401929996612E-2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4.4612566063243431E-2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9.3717508383601647E-7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9.9192426687311479E-6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8.1059536154075151E-6</v>
      </c>
    </row>
    <row r="1449" spans="2:11" x14ac:dyDescent="0.3">
      <c r="B1449" s="5" t="str">
        <f t="shared" si="833"/>
        <v>SPS3</v>
      </c>
      <c r="C1449" s="5" t="str">
        <f t="shared" si="882"/>
        <v>CH</v>
      </c>
      <c r="D1449" t="s">
        <v>1443</v>
      </c>
      <c r="E1449" t="str">
        <f t="shared" si="883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4.5178717393661388E-2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3.4204775865883712E-2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4.1799468010077022E-2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0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1.1715568159255537E-5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1.0467598787198868E-5</v>
      </c>
    </row>
    <row r="1450" spans="2:11" x14ac:dyDescent="0.3">
      <c r="B1450" s="5" t="str">
        <f t="shared" si="833"/>
        <v>SPS3</v>
      </c>
      <c r="C1450" s="5" t="str">
        <f t="shared" si="882"/>
        <v>CH</v>
      </c>
      <c r="D1450" t="s">
        <v>1444</v>
      </c>
      <c r="E1450" t="str">
        <f t="shared" si="883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8.9013803019000574E-3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7.0944220801514709E-3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8.5911480210227979E-3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4.1343145089565904E-8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9.8141750090838506E-6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8.0572118350141086E-6</v>
      </c>
    </row>
    <row r="1451" spans="2:11" x14ac:dyDescent="0.3">
      <c r="B1451" s="5" t="str">
        <f t="shared" si="833"/>
        <v>SPS3</v>
      </c>
      <c r="C1451" s="5" t="str">
        <f t="shared" si="882"/>
        <v>CH</v>
      </c>
      <c r="D1451" t="s">
        <v>1445</v>
      </c>
      <c r="E1451" t="str">
        <f t="shared" si="883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1.0731519085554902E-3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1.8443258990838399E-4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2.2068245923349922E-4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4.0845633413132604E-8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1.0470495545979278E-5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4.2980721338281026E-6</v>
      </c>
    </row>
    <row r="1452" spans="2:11" x14ac:dyDescent="0.3">
      <c r="B1452" s="5" t="str">
        <f t="shared" si="833"/>
        <v>SPS3</v>
      </c>
      <c r="C1452" s="5" t="str">
        <f t="shared" si="882"/>
        <v>CH</v>
      </c>
      <c r="D1452" t="s">
        <v>2120</v>
      </c>
      <c r="E1452" t="str">
        <f t="shared" si="883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1.4204639987591653E-3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1.1450922107499198E-3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7.0335575599013943E-4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3">
      <c r="B1453" s="5" t="str">
        <f t="shared" si="833"/>
        <v>SPS3</v>
      </c>
      <c r="C1453" s="5" t="str">
        <f t="shared" si="882"/>
        <v>CH</v>
      </c>
      <c r="D1453" t="s">
        <v>1446</v>
      </c>
      <c r="E1453" t="str">
        <f t="shared" si="883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2.5145691168069524E-4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5.4081368833632047E-4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3.7383696963353508E-6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4.1646554045950327E-6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1.5069553856238065E-6</v>
      </c>
    </row>
    <row r="1454" spans="2:11" x14ac:dyDescent="0.3">
      <c r="B1454" s="5" t="str">
        <f t="shared" si="833"/>
        <v>SPS3</v>
      </c>
      <c r="C1454" s="5" t="str">
        <f t="shared" si="882"/>
        <v>CH</v>
      </c>
      <c r="D1454" t="s">
        <v>1447</v>
      </c>
      <c r="E1454" t="str">
        <f t="shared" si="883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9.0402491833062104E-5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2.5948089316318456E-4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0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4.0240942356473166E-6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3.3706432063262133E-6</v>
      </c>
    </row>
    <row r="1455" spans="2:11" x14ac:dyDescent="0.3">
      <c r="B1455" s="5" t="str">
        <f t="shared" si="833"/>
        <v>SPS3</v>
      </c>
      <c r="C1455" s="5" t="str">
        <f t="shared" si="882"/>
        <v>CH</v>
      </c>
      <c r="D1455" t="s">
        <v>1448</v>
      </c>
      <c r="E1455" t="str">
        <f t="shared" si="883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4.7619316181287579E-5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1.3265112574008774E-4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0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3.6051339637109169E-6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2.5326229357513961E-6</v>
      </c>
    </row>
    <row r="1456" spans="2:11" x14ac:dyDescent="0.3">
      <c r="B1456" s="5" t="str">
        <f t="shared" si="833"/>
        <v>SPS3</v>
      </c>
      <c r="C1456" s="5" t="str">
        <f t="shared" si="882"/>
        <v>CH</v>
      </c>
      <c r="D1456" t="s">
        <v>1449</v>
      </c>
      <c r="E1456" t="str">
        <f t="shared" si="883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1.3670721976997924E-5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3.5412317440590828E-5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3.7785678928083711E-6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1.6356272901764822E-6</v>
      </c>
    </row>
    <row r="1457" spans="2:11" x14ac:dyDescent="0.3">
      <c r="B1457" s="5" t="str">
        <f t="shared" si="833"/>
        <v>SPS3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3">
      <c r="B1458" s="5" t="str">
        <f t="shared" si="833"/>
        <v>SPS3</v>
      </c>
      <c r="C1458" s="5" t="str">
        <f t="shared" ref="C1458:C1480" si="884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885">IFERROR(G1434/G1399,"-")</f>
        <v>-</v>
      </c>
      <c r="H1458" s="1" t="str">
        <f t="shared" si="885"/>
        <v>-</v>
      </c>
      <c r="I1458" s="1" t="str">
        <f t="shared" si="885"/>
        <v>-</v>
      </c>
      <c r="J1458" s="1" t="str">
        <f t="shared" si="885"/>
        <v>-</v>
      </c>
      <c r="K1458" s="1" t="str">
        <f t="shared" si="885"/>
        <v>-</v>
      </c>
    </row>
    <row r="1459" spans="2:11" x14ac:dyDescent="0.3">
      <c r="B1459" s="5" t="str">
        <f t="shared" si="833"/>
        <v>SPS3</v>
      </c>
      <c r="C1459" s="5" t="str">
        <f t="shared" si="884"/>
        <v>CH</v>
      </c>
      <c r="D1459" t="s">
        <v>1451</v>
      </c>
      <c r="E1459" t="s">
        <v>1230</v>
      </c>
      <c r="F1459" s="1">
        <f t="shared" ref="F1459:K1459" si="886">IFERROR(F1435/F1400,"-")</f>
        <v>0.37869321701871828</v>
      </c>
      <c r="G1459" s="1">
        <f t="shared" si="886"/>
        <v>0.38802360676370273</v>
      </c>
      <c r="H1459" s="1">
        <f t="shared" si="886"/>
        <v>0.40080044076265015</v>
      </c>
      <c r="I1459" s="1">
        <f t="shared" si="886"/>
        <v>0.44694398026335652</v>
      </c>
      <c r="J1459" s="1">
        <f t="shared" si="886"/>
        <v>0.47374925577036475</v>
      </c>
      <c r="K1459" s="1">
        <f t="shared" si="886"/>
        <v>0.52802825445323665</v>
      </c>
    </row>
    <row r="1460" spans="2:11" x14ac:dyDescent="0.3">
      <c r="B1460" s="5" t="str">
        <f t="shared" ref="B1460:B1523" si="887">B1459</f>
        <v>SPS3</v>
      </c>
      <c r="C1460" s="5" t="str">
        <f t="shared" si="884"/>
        <v>CH</v>
      </c>
      <c r="D1460" t="s">
        <v>1452</v>
      </c>
      <c r="E1460" t="s">
        <v>1230</v>
      </c>
      <c r="F1460" s="1">
        <f t="shared" ref="F1460:K1460" si="888">IFERROR(F1436/F1401,"-")</f>
        <v>0.27518070496490693</v>
      </c>
      <c r="G1460" s="1">
        <f t="shared" si="888"/>
        <v>0.27899520383646242</v>
      </c>
      <c r="H1460" s="1">
        <f t="shared" si="888"/>
        <v>0.2854980026901241</v>
      </c>
      <c r="I1460" s="1">
        <f t="shared" si="888"/>
        <v>0.32403551041677814</v>
      </c>
      <c r="J1460" s="1">
        <f t="shared" si="888"/>
        <v>0.35014563163348422</v>
      </c>
      <c r="K1460" s="1">
        <f t="shared" si="888"/>
        <v>0.37815276060804992</v>
      </c>
    </row>
    <row r="1461" spans="2:11" x14ac:dyDescent="0.3">
      <c r="B1461" s="5" t="str">
        <f t="shared" si="887"/>
        <v>SPS3</v>
      </c>
      <c r="C1461" s="5" t="str">
        <f t="shared" si="884"/>
        <v>CH</v>
      </c>
      <c r="D1461" t="s">
        <v>1453</v>
      </c>
      <c r="E1461" t="s">
        <v>1230</v>
      </c>
      <c r="F1461" s="1">
        <f t="shared" ref="F1461:K1461" si="889">IFERROR(F1437/F1402,"-")</f>
        <v>0.1829704071343988</v>
      </c>
      <c r="G1461" s="1">
        <f t="shared" si="889"/>
        <v>0.1859847946271887</v>
      </c>
      <c r="H1461" s="1">
        <f t="shared" si="889"/>
        <v>0.18997581281636916</v>
      </c>
      <c r="I1461" s="1">
        <f t="shared" si="889"/>
        <v>0.21534602544374115</v>
      </c>
      <c r="J1461" s="1">
        <f t="shared" si="889"/>
        <v>0.23746273907967538</v>
      </c>
      <c r="K1461" s="1">
        <f t="shared" si="889"/>
        <v>0.25713435896138198</v>
      </c>
    </row>
    <row r="1462" spans="2:11" x14ac:dyDescent="0.3">
      <c r="B1462" s="5" t="str">
        <f t="shared" si="887"/>
        <v>SPS3</v>
      </c>
      <c r="C1462" s="5" t="str">
        <f t="shared" si="884"/>
        <v>CH</v>
      </c>
      <c r="D1462" t="s">
        <v>1454</v>
      </c>
      <c r="E1462" t="s">
        <v>1230</v>
      </c>
      <c r="F1462" s="1" t="str">
        <f t="shared" ref="F1462:K1462" si="890">IFERROR(F1438/F1403,"-")</f>
        <v>-</v>
      </c>
      <c r="G1462" s="1">
        <f t="shared" si="890"/>
        <v>0.12643429100140427</v>
      </c>
      <c r="H1462" s="1">
        <f t="shared" si="890"/>
        <v>0.12960681279872652</v>
      </c>
      <c r="I1462" s="1">
        <f t="shared" si="890"/>
        <v>0.13985890065239928</v>
      </c>
      <c r="J1462" s="1">
        <f t="shared" si="890"/>
        <v>0.15735986801814195</v>
      </c>
      <c r="K1462" s="1">
        <f t="shared" si="890"/>
        <v>0.17089595309252298</v>
      </c>
    </row>
    <row r="1463" spans="2:11" x14ac:dyDescent="0.3">
      <c r="B1463" s="5" t="str">
        <f t="shared" si="887"/>
        <v>SPS3</v>
      </c>
      <c r="C1463" s="5" t="str">
        <f t="shared" si="884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891">IFERROR(G1439/G1405,"-")</f>
        <v>-</v>
      </c>
      <c r="H1463" s="1" t="str">
        <f t="shared" si="891"/>
        <v>-</v>
      </c>
      <c r="I1463" s="1" t="str">
        <f t="shared" si="891"/>
        <v>-</v>
      </c>
      <c r="J1463" s="1">
        <f t="shared" si="891"/>
        <v>0.2604495603665577</v>
      </c>
      <c r="K1463" s="1">
        <f t="shared" si="891"/>
        <v>0.30049966123777977</v>
      </c>
    </row>
    <row r="1464" spans="2:11" x14ac:dyDescent="0.3">
      <c r="B1464" s="5" t="str">
        <f t="shared" si="887"/>
        <v>SPS3</v>
      </c>
      <c r="C1464" s="5" t="str">
        <f t="shared" si="884"/>
        <v>CH</v>
      </c>
      <c r="D1464" t="s">
        <v>1456</v>
      </c>
      <c r="E1464" t="s">
        <v>1230</v>
      </c>
      <c r="F1464" s="1" t="str">
        <f t="shared" ref="F1464:K1464" si="892">IFERROR(F1440/F1406,"-")</f>
        <v>-</v>
      </c>
      <c r="G1464" s="1" t="str">
        <f t="shared" si="892"/>
        <v>-</v>
      </c>
      <c r="H1464" s="1" t="str">
        <f t="shared" si="892"/>
        <v>-</v>
      </c>
      <c r="I1464" s="1" t="str">
        <f t="shared" si="892"/>
        <v>-</v>
      </c>
      <c r="J1464" s="1">
        <f t="shared" si="892"/>
        <v>0.18795646688428139</v>
      </c>
      <c r="K1464" s="1">
        <f t="shared" si="892"/>
        <v>0.21662660307952597</v>
      </c>
    </row>
    <row r="1465" spans="2:11" x14ac:dyDescent="0.3">
      <c r="B1465" s="5" t="str">
        <f t="shared" si="887"/>
        <v>SPS3</v>
      </c>
      <c r="C1465" s="5" t="str">
        <f t="shared" si="884"/>
        <v>CH</v>
      </c>
      <c r="D1465" t="s">
        <v>1457</v>
      </c>
      <c r="E1465" t="s">
        <v>1230</v>
      </c>
      <c r="F1465" s="1" t="str">
        <f t="shared" ref="F1465:K1465" si="893">IFERROR(F1441/F1407,"-")</f>
        <v>-</v>
      </c>
      <c r="G1465" s="1" t="str">
        <f t="shared" si="893"/>
        <v>-</v>
      </c>
      <c r="H1465" s="1" t="str">
        <f t="shared" si="893"/>
        <v>-</v>
      </c>
      <c r="I1465" s="1" t="str">
        <f t="shared" si="893"/>
        <v>-</v>
      </c>
      <c r="J1465" s="1">
        <f t="shared" si="893"/>
        <v>0.12714692811049069</v>
      </c>
      <c r="K1465" s="1">
        <f t="shared" si="893"/>
        <v>0.14604685554444943</v>
      </c>
    </row>
    <row r="1466" spans="2:11" x14ac:dyDescent="0.3">
      <c r="B1466" s="5" t="str">
        <f t="shared" si="887"/>
        <v>SPS3</v>
      </c>
      <c r="C1466" s="5" t="str">
        <f t="shared" si="884"/>
        <v>CH</v>
      </c>
      <c r="D1466" t="s">
        <v>1458</v>
      </c>
      <c r="E1466" t="s">
        <v>1230</v>
      </c>
      <c r="F1466" s="1" t="str">
        <f t="shared" ref="F1466:K1466" si="894">IFERROR(F1442/F1408,"-")</f>
        <v>-</v>
      </c>
      <c r="G1466" s="1" t="str">
        <f t="shared" si="894"/>
        <v>-</v>
      </c>
      <c r="H1466" s="1" t="str">
        <f t="shared" si="894"/>
        <v>-</v>
      </c>
      <c r="I1466" s="1" t="str">
        <f t="shared" si="894"/>
        <v>-</v>
      </c>
      <c r="J1466" s="1">
        <f t="shared" si="894"/>
        <v>8.5102442788702742E-2</v>
      </c>
      <c r="K1466" s="1">
        <f t="shared" si="894"/>
        <v>9.7578580613217489E-2</v>
      </c>
    </row>
    <row r="1467" spans="2:11" x14ac:dyDescent="0.3">
      <c r="B1467" s="5" t="str">
        <f t="shared" si="887"/>
        <v>SPS3</v>
      </c>
      <c r="C1467" s="5" t="str">
        <f t="shared" si="884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895">IFERROR(G1443/G1414,"-")</f>
        <v>0.16251369968883872</v>
      </c>
      <c r="H1467" s="1">
        <f t="shared" si="895"/>
        <v>0.16418762257539837</v>
      </c>
      <c r="I1467" s="1">
        <f t="shared" si="895"/>
        <v>0.18431759393486846</v>
      </c>
      <c r="J1467" s="1">
        <f t="shared" si="895"/>
        <v>0.19693010314159154</v>
      </c>
      <c r="K1467" s="1">
        <f t="shared" si="895"/>
        <v>0.2205473184933795</v>
      </c>
    </row>
    <row r="1468" spans="2:11" x14ac:dyDescent="0.3">
      <c r="B1468" s="5" t="str">
        <f t="shared" si="887"/>
        <v>SPS3</v>
      </c>
      <c r="C1468" s="5" t="str">
        <f t="shared" si="884"/>
        <v>CH</v>
      </c>
      <c r="D1468" t="s">
        <v>1460</v>
      </c>
      <c r="E1468" t="s">
        <v>1230</v>
      </c>
      <c r="F1468" s="1" t="str">
        <f t="shared" ref="F1468:K1468" si="896">IFERROR(F1444/F1415,"-")</f>
        <v>-</v>
      </c>
      <c r="G1468" s="1">
        <f t="shared" si="896"/>
        <v>0.11649393435744156</v>
      </c>
      <c r="H1468" s="1">
        <f t="shared" si="896"/>
        <v>0.11905676646631261</v>
      </c>
      <c r="I1468" s="1">
        <f t="shared" si="896"/>
        <v>0.12978702291529934</v>
      </c>
      <c r="J1468" s="1">
        <f t="shared" si="896"/>
        <v>0.14395044891418338</v>
      </c>
      <c r="K1468" s="1">
        <f t="shared" si="896"/>
        <v>0.15128974252028216</v>
      </c>
    </row>
    <row r="1469" spans="2:11" x14ac:dyDescent="0.3">
      <c r="B1469" s="5" t="str">
        <f t="shared" si="887"/>
        <v>SPS3</v>
      </c>
      <c r="C1469" s="5" t="str">
        <f t="shared" si="884"/>
        <v>CH</v>
      </c>
      <c r="D1469" t="s">
        <v>1461</v>
      </c>
      <c r="E1469" t="s">
        <v>1230</v>
      </c>
      <c r="F1469" s="1" t="str">
        <f t="shared" ref="F1469:K1469" si="897">IFERROR(F1445/F1416,"-")</f>
        <v>-</v>
      </c>
      <c r="G1469" s="1">
        <f t="shared" si="897"/>
        <v>7.8235828164578899E-2</v>
      </c>
      <c r="H1469" s="1">
        <f t="shared" si="897"/>
        <v>7.9946462041646835E-2</v>
      </c>
      <c r="I1469" s="1">
        <f t="shared" si="897"/>
        <v>8.881430848823875E-2</v>
      </c>
      <c r="J1469" s="1">
        <f t="shared" si="897"/>
        <v>9.5821588793525092E-2</v>
      </c>
      <c r="K1469" s="1">
        <f t="shared" si="897"/>
        <v>0.10114908164566853</v>
      </c>
    </row>
    <row r="1470" spans="2:11" x14ac:dyDescent="0.3">
      <c r="B1470" s="5" t="str">
        <f t="shared" si="887"/>
        <v>SPS3</v>
      </c>
      <c r="C1470" s="5" t="str">
        <f t="shared" si="884"/>
        <v>CH</v>
      </c>
      <c r="D1470" t="s">
        <v>1462</v>
      </c>
      <c r="E1470" t="s">
        <v>1230</v>
      </c>
      <c r="F1470" s="1" t="str">
        <f t="shared" ref="F1470:K1470" si="898">IFERROR(F1446/F1417,"-")</f>
        <v>-</v>
      </c>
      <c r="G1470" s="1">
        <f t="shared" si="898"/>
        <v>5.2751439830497751E-2</v>
      </c>
      <c r="H1470" s="1">
        <f t="shared" si="898"/>
        <v>5.3944360857923236E-2</v>
      </c>
      <c r="I1470" s="1" t="str">
        <f t="shared" si="898"/>
        <v>-</v>
      </c>
      <c r="J1470" s="1">
        <f t="shared" si="898"/>
        <v>6.5208874247289883E-2</v>
      </c>
      <c r="K1470" s="1">
        <f t="shared" si="898"/>
        <v>7.1523496957519542E-2</v>
      </c>
    </row>
    <row r="1471" spans="2:11" x14ac:dyDescent="0.3">
      <c r="B1471" s="5" t="str">
        <f t="shared" si="887"/>
        <v>SPS3</v>
      </c>
      <c r="C1471" s="5" t="str">
        <f t="shared" si="884"/>
        <v>CH</v>
      </c>
      <c r="D1471" t="s">
        <v>2118</v>
      </c>
      <c r="E1471" t="s">
        <v>1230</v>
      </c>
      <c r="F1471" s="1">
        <f>IFERROR(F1447/F1418,"-")</f>
        <v>9.9502495941956681</v>
      </c>
      <c r="G1471" s="1">
        <f t="shared" ref="G1471:K1471" si="899">IFERROR(G1447/G1418,"-")</f>
        <v>7.9797266512003135</v>
      </c>
      <c r="H1471" s="1">
        <f t="shared" si="899"/>
        <v>5.0239422367072857</v>
      </c>
      <c r="I1471" s="1" t="str">
        <f t="shared" si="899"/>
        <v>-</v>
      </c>
      <c r="J1471" s="1" t="str">
        <f t="shared" si="899"/>
        <v>-</v>
      </c>
      <c r="K1471" s="1" t="str">
        <f t="shared" si="899"/>
        <v>-</v>
      </c>
    </row>
    <row r="1472" spans="2:11" x14ac:dyDescent="0.3">
      <c r="B1472" s="5" t="str">
        <f t="shared" si="887"/>
        <v>SPS3</v>
      </c>
      <c r="C1472" s="5" t="str">
        <f t="shared" si="884"/>
        <v>CH</v>
      </c>
      <c r="D1472" t="s">
        <v>1463</v>
      </c>
      <c r="E1472" t="s">
        <v>1230</v>
      </c>
      <c r="F1472" s="1">
        <f t="shared" ref="F1472:K1472" si="900">IFERROR(F1448/F1419,"-")</f>
        <v>0.12391916748597506</v>
      </c>
      <c r="G1472" s="1">
        <f t="shared" si="900"/>
        <v>0.12661050786862918</v>
      </c>
      <c r="H1472" s="1">
        <f t="shared" si="900"/>
        <v>0.1280853190850639</v>
      </c>
      <c r="I1472" s="1">
        <f t="shared" si="900"/>
        <v>0.14635563785856512</v>
      </c>
      <c r="J1472" s="1">
        <f t="shared" si="900"/>
        <v>0.15868085005282392</v>
      </c>
      <c r="K1472" s="1">
        <f t="shared" si="900"/>
        <v>0.17329905932761486</v>
      </c>
    </row>
    <row r="1473" spans="2:11" x14ac:dyDescent="0.3">
      <c r="B1473" s="5" t="str">
        <f t="shared" si="887"/>
        <v>SPS3</v>
      </c>
      <c r="C1473" s="5" t="str">
        <f t="shared" si="884"/>
        <v>CH</v>
      </c>
      <c r="D1473" t="s">
        <v>1464</v>
      </c>
      <c r="E1473" t="s">
        <v>1230</v>
      </c>
      <c r="F1473" s="1">
        <f t="shared" ref="F1473:K1473" si="901">IFERROR(F1449/F1420,"-")</f>
        <v>8.746584758561686E-2</v>
      </c>
      <c r="G1473" s="1">
        <f t="shared" si="901"/>
        <v>8.7815066679080428E-2</v>
      </c>
      <c r="H1473" s="1">
        <f t="shared" si="901"/>
        <v>8.783989125104176E-2</v>
      </c>
      <c r="I1473" s="1" t="str">
        <f t="shared" si="901"/>
        <v>-</v>
      </c>
      <c r="J1473" s="1">
        <f t="shared" si="901"/>
        <v>0.11015791194440953</v>
      </c>
      <c r="K1473" s="1">
        <f t="shared" si="901"/>
        <v>0.11883259247441283</v>
      </c>
    </row>
    <row r="1474" spans="2:11" x14ac:dyDescent="0.3">
      <c r="B1474" s="5" t="str">
        <f t="shared" si="887"/>
        <v>SPS3</v>
      </c>
      <c r="C1474" s="5" t="str">
        <f t="shared" si="884"/>
        <v>CH</v>
      </c>
      <c r="D1474" t="s">
        <v>1465</v>
      </c>
      <c r="E1474" t="s">
        <v>1230</v>
      </c>
      <c r="F1474" s="1">
        <f t="shared" ref="F1474:K1474" si="902">IFERROR(F1450/F1421,"-")</f>
        <v>5.7949527986548587E-2</v>
      </c>
      <c r="G1474" s="1">
        <f t="shared" si="902"/>
        <v>5.818774694844997E-2</v>
      </c>
      <c r="H1474" s="1">
        <f t="shared" si="902"/>
        <v>5.8232189267640747E-2</v>
      </c>
      <c r="I1474" s="1">
        <f t="shared" si="902"/>
        <v>6.8175389308591405E-2</v>
      </c>
      <c r="J1474" s="1">
        <f t="shared" si="902"/>
        <v>7.4225311669605332E-2</v>
      </c>
      <c r="K1474" s="1">
        <f t="shared" si="902"/>
        <v>8.0489400156549082E-2</v>
      </c>
    </row>
    <row r="1475" spans="2:11" x14ac:dyDescent="0.3">
      <c r="B1475" s="5" t="str">
        <f t="shared" si="887"/>
        <v>SPS3</v>
      </c>
      <c r="C1475" s="5" t="str">
        <f t="shared" si="884"/>
        <v>CH</v>
      </c>
      <c r="D1475" t="s">
        <v>1466</v>
      </c>
      <c r="E1475" t="s">
        <v>1230</v>
      </c>
      <c r="F1475" s="1">
        <f t="shared" ref="F1475:K1475" si="903">IFERROR(F1451/F1422,"-")</f>
        <v>3.8646481387947448E-2</v>
      </c>
      <c r="G1475" s="1">
        <f t="shared" si="903"/>
        <v>3.8976616807452541E-2</v>
      </c>
      <c r="H1475" s="1">
        <f t="shared" si="903"/>
        <v>3.9345595202748725E-2</v>
      </c>
      <c r="I1475" s="1">
        <f t="shared" si="903"/>
        <v>4.5564792064057225E-2</v>
      </c>
      <c r="J1475" s="1">
        <f t="shared" si="903"/>
        <v>4.9281455396772832E-2</v>
      </c>
      <c r="K1475" s="1">
        <f t="shared" si="903"/>
        <v>5.4447770583203034E-2</v>
      </c>
    </row>
    <row r="1476" spans="2:11" x14ac:dyDescent="0.3">
      <c r="B1476" s="5" t="str">
        <f t="shared" si="887"/>
        <v>SPS3</v>
      </c>
      <c r="C1476" s="5" t="str">
        <f t="shared" si="884"/>
        <v>CH</v>
      </c>
      <c r="D1476" t="s">
        <v>2121</v>
      </c>
      <c r="E1476" t="s">
        <v>1230</v>
      </c>
      <c r="F1476" s="1">
        <f>IFERROR(F1452/F1428,"-")</f>
        <v>9.9502495941956468</v>
      </c>
      <c r="G1476" s="1">
        <f t="shared" ref="G1476:K1476" si="904">IFERROR(G1452/G1428,"-")</f>
        <v>7.9767976048237426</v>
      </c>
      <c r="H1476" s="1">
        <f t="shared" si="904"/>
        <v>5.0166196207658684</v>
      </c>
      <c r="I1476" s="1" t="str">
        <f t="shared" si="904"/>
        <v>-</v>
      </c>
      <c r="J1476" s="1" t="str">
        <f t="shared" si="904"/>
        <v>-</v>
      </c>
      <c r="K1476" s="1" t="str">
        <f t="shared" si="904"/>
        <v>-</v>
      </c>
    </row>
    <row r="1477" spans="2:11" x14ac:dyDescent="0.3">
      <c r="B1477" s="5" t="str">
        <f t="shared" si="887"/>
        <v>SPS3</v>
      </c>
      <c r="C1477" s="5" t="str">
        <f t="shared" si="884"/>
        <v>CH</v>
      </c>
      <c r="D1477" t="s">
        <v>1467</v>
      </c>
      <c r="E1477" t="s">
        <v>1230</v>
      </c>
      <c r="F1477" s="1" t="str">
        <f t="shared" ref="F1477:K1477" si="905">IFERROR(F1453/F1429,"-")</f>
        <v>-</v>
      </c>
      <c r="G1477" s="1">
        <f t="shared" si="905"/>
        <v>0.12023751974847216</v>
      </c>
      <c r="H1477" s="1">
        <f t="shared" si="905"/>
        <v>0.12313703949001086</v>
      </c>
      <c r="I1477" s="1">
        <f t="shared" si="905"/>
        <v>0.134993930602227</v>
      </c>
      <c r="J1477" s="1">
        <f t="shared" si="905"/>
        <v>0.14804660358833543</v>
      </c>
      <c r="K1477" s="1">
        <f t="shared" si="905"/>
        <v>0.16480332651370144</v>
      </c>
    </row>
    <row r="1478" spans="2:11" x14ac:dyDescent="0.3">
      <c r="B1478" s="5" t="str">
        <f t="shared" si="887"/>
        <v>SPS3</v>
      </c>
      <c r="C1478" s="5" t="str">
        <f t="shared" si="884"/>
        <v>CH</v>
      </c>
      <c r="D1478" t="s">
        <v>1468</v>
      </c>
      <c r="E1478" t="s">
        <v>1230</v>
      </c>
      <c r="F1478" s="1" t="str">
        <f t="shared" ref="F1478:K1478" si="906">IFERROR(F1454/F1430,"-")</f>
        <v>-</v>
      </c>
      <c r="G1478" s="1">
        <f t="shared" si="906"/>
        <v>8.4998076233608763E-2</v>
      </c>
      <c r="H1478" s="1">
        <f t="shared" si="906"/>
        <v>8.7573836218837853E-2</v>
      </c>
      <c r="I1478" s="1" t="str">
        <f t="shared" si="906"/>
        <v>-</v>
      </c>
      <c r="J1478" s="1">
        <f t="shared" si="906"/>
        <v>0.10417012261827432</v>
      </c>
      <c r="K1478" s="1">
        <f t="shared" si="906"/>
        <v>0.11331362778528589</v>
      </c>
    </row>
    <row r="1479" spans="2:11" x14ac:dyDescent="0.3">
      <c r="B1479" s="5" t="str">
        <f t="shared" si="887"/>
        <v>SPS3</v>
      </c>
      <c r="C1479" s="5" t="str">
        <f t="shared" si="884"/>
        <v>CH</v>
      </c>
      <c r="D1479" t="s">
        <v>1469</v>
      </c>
      <c r="E1479" t="s">
        <v>1230</v>
      </c>
      <c r="F1479" s="1" t="str">
        <f t="shared" ref="F1479:K1479" si="907">IFERROR(F1455/F1431,"-")</f>
        <v>-</v>
      </c>
      <c r="G1479" s="1">
        <f t="shared" si="907"/>
        <v>5.6422133461237131E-2</v>
      </c>
      <c r="H1479" s="1">
        <f t="shared" si="907"/>
        <v>5.812169771905256E-2</v>
      </c>
      <c r="I1479" s="1" t="str">
        <f t="shared" si="907"/>
        <v>-</v>
      </c>
      <c r="J1479" s="1">
        <f t="shared" si="907"/>
        <v>6.9991502877965961E-2</v>
      </c>
      <c r="K1479" s="1">
        <f t="shared" si="907"/>
        <v>7.6277422425238273E-2</v>
      </c>
    </row>
    <row r="1480" spans="2:11" x14ac:dyDescent="0.3">
      <c r="B1480" s="5" t="str">
        <f t="shared" si="887"/>
        <v>SPS3</v>
      </c>
      <c r="C1480" s="5" t="str">
        <f t="shared" si="884"/>
        <v>CH</v>
      </c>
      <c r="D1480" t="s">
        <v>1470</v>
      </c>
      <c r="E1480" t="s">
        <v>1230</v>
      </c>
      <c r="F1480" s="1" t="str">
        <f t="shared" ref="F1480:K1480" si="908">IFERROR(F1456/F1432,"-")</f>
        <v>-</v>
      </c>
      <c r="G1480" s="1">
        <f t="shared" si="908"/>
        <v>3.7689157759834342E-2</v>
      </c>
      <c r="H1480" s="1">
        <f t="shared" si="908"/>
        <v>3.8767451618300003E-2</v>
      </c>
      <c r="I1480" s="1" t="str">
        <f t="shared" si="908"/>
        <v>-</v>
      </c>
      <c r="J1480" s="1">
        <f t="shared" si="908"/>
        <v>4.6909999185105945E-2</v>
      </c>
      <c r="K1480" s="1">
        <f t="shared" si="908"/>
        <v>5.2016997004497884E-2</v>
      </c>
    </row>
    <row r="1481" spans="2:11" x14ac:dyDescent="0.3">
      <c r="B1481" s="9" t="str">
        <f t="shared" si="887"/>
        <v>SPS3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09">G1482</f>
        <v>0.30572256601970044</v>
      </c>
      <c r="H1481" s="3">
        <f t="shared" si="909"/>
        <v>0.35149986092475399</v>
      </c>
      <c r="I1481" s="3">
        <f t="shared" si="909"/>
        <v>0.45078090930791764</v>
      </c>
      <c r="J1481" s="3">
        <f t="shared" si="909"/>
        <v>0.47237229295618205</v>
      </c>
      <c r="K1481" s="3">
        <f t="shared" si="909"/>
        <v>0.48809144422268164</v>
      </c>
    </row>
    <row r="1482" spans="2:11" x14ac:dyDescent="0.3">
      <c r="B1482" s="5" t="str">
        <f t="shared" si="887"/>
        <v>SPS3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10">G1483</f>
        <v>0.30572256601970044</v>
      </c>
      <c r="H1482" s="1">
        <f t="shared" si="910"/>
        <v>0.35149986092475399</v>
      </c>
      <c r="I1482" s="1">
        <f t="shared" si="910"/>
        <v>0.45078090930791764</v>
      </c>
      <c r="J1482" s="1">
        <f t="shared" si="910"/>
        <v>0.47237229295618205</v>
      </c>
      <c r="K1482" s="1">
        <f t="shared" si="910"/>
        <v>0.48809144422268164</v>
      </c>
    </row>
    <row r="1483" spans="2:11" x14ac:dyDescent="0.3">
      <c r="B1483" s="5" t="str">
        <f t="shared" si="887"/>
        <v>SPS3</v>
      </c>
      <c r="C1483" s="5" t="str">
        <f t="shared" ref="C1483" si="911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0.35149986092475399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0.45078090930791764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0.47237229295618205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0.48809144422268164</v>
      </c>
    </row>
    <row r="1484" spans="2:11" x14ac:dyDescent="0.3">
      <c r="B1484" s="9" t="str">
        <f t="shared" si="887"/>
        <v>SPS3</v>
      </c>
      <c r="C1484" s="9" t="str">
        <f t="shared" ref="C1484:C1487" si="912">C1483</f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13">G1485</f>
        <v>2.7694845980498664E-2</v>
      </c>
      <c r="H1484" s="3">
        <f t="shared" si="913"/>
        <v>2.8832315767707572E-2</v>
      </c>
      <c r="I1484" s="3">
        <f t="shared" si="913"/>
        <v>3.0543631535415186E-2</v>
      </c>
      <c r="J1484" s="3">
        <f t="shared" si="913"/>
        <v>3.2006602244411902E-2</v>
      </c>
      <c r="K1484" s="3">
        <f t="shared" si="913"/>
        <v>3.3071687199031086E-2</v>
      </c>
    </row>
    <row r="1485" spans="2:11" x14ac:dyDescent="0.3">
      <c r="B1485" s="5" t="str">
        <f t="shared" si="887"/>
        <v>SPS3</v>
      </c>
      <c r="C1485" s="5" t="str">
        <f t="shared" si="912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2.8832315767707572E-2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3.0543631535415186E-2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3.2006602244411902E-2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3.3071687199031086E-2</v>
      </c>
    </row>
    <row r="1486" spans="2:11" x14ac:dyDescent="0.3">
      <c r="B1486" s="9" t="str">
        <f t="shared" si="887"/>
        <v>SPS3</v>
      </c>
      <c r="C1486" s="9" t="str">
        <f t="shared" si="912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3">
      <c r="B1487" s="5" t="str">
        <f t="shared" si="887"/>
        <v>SPS3</v>
      </c>
      <c r="C1487" s="5" t="str">
        <f t="shared" si="912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14">G1485/G1483</f>
        <v>9.058816410272455E-2</v>
      </c>
      <c r="H1487" s="1">
        <f t="shared" si="914"/>
        <v>8.2026535350122776E-2</v>
      </c>
      <c r="I1487" s="1">
        <f t="shared" si="914"/>
        <v>6.7757154095786171E-2</v>
      </c>
      <c r="J1487" s="1">
        <f t="shared" si="914"/>
        <v>6.7757154095786226E-2</v>
      </c>
      <c r="K1487" s="1">
        <f t="shared" si="914"/>
        <v>6.7757154095786226E-2</v>
      </c>
    </row>
    <row r="1488" spans="2:11" x14ac:dyDescent="0.3">
      <c r="B1488" s="9" t="str">
        <f t="shared" si="887"/>
        <v>SPS3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15">G1489</f>
        <v>0.6125507323013607</v>
      </c>
      <c r="H1488" s="3">
        <f t="shared" ref="H1488:H1489" si="916">H1489</f>
        <v>0.65830556959273911</v>
      </c>
      <c r="I1488" s="3">
        <f t="shared" ref="I1488:I1489" si="917">I1489</f>
        <v>0.7379148962536346</v>
      </c>
      <c r="J1488" s="3">
        <f t="shared" ref="J1488:J1489" si="918">J1489</f>
        <v>0.77325934733858914</v>
      </c>
      <c r="K1488" s="3">
        <f t="shared" ref="K1488:K1489" si="919">K1489</f>
        <v>0.79899112903654423</v>
      </c>
    </row>
    <row r="1489" spans="2:11" x14ac:dyDescent="0.3">
      <c r="B1489" s="5" t="str">
        <f t="shared" si="887"/>
        <v>SPS3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15"/>
        <v>0.6125507323013607</v>
      </c>
      <c r="H1489" s="1">
        <f t="shared" si="916"/>
        <v>0.65830556959273911</v>
      </c>
      <c r="I1489" s="1">
        <f t="shared" si="917"/>
        <v>0.7379148962536346</v>
      </c>
      <c r="J1489" s="1">
        <f t="shared" si="918"/>
        <v>0.77325934733858914</v>
      </c>
      <c r="K1489" s="1">
        <f t="shared" si="919"/>
        <v>0.79899112903654423</v>
      </c>
    </row>
    <row r="1490" spans="2:11" x14ac:dyDescent="0.3">
      <c r="B1490" s="5" t="str">
        <f t="shared" si="887"/>
        <v>SPS3</v>
      </c>
      <c r="C1490" s="5" t="str">
        <f t="shared" ref="C1490" si="920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0.65830556959273911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0.7379148962536346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0.77325934733858914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0.79899112903654423</v>
      </c>
    </row>
    <row r="1491" spans="2:11" x14ac:dyDescent="0.3">
      <c r="B1491" s="9" t="str">
        <f t="shared" si="887"/>
        <v>SPS3</v>
      </c>
      <c r="C1491" s="9" t="str">
        <f t="shared" ref="C1491:C1495" si="921">C1490</f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22">G1492</f>
        <v>3.4100101820365179E-2</v>
      </c>
      <c r="H1491" s="3">
        <f t="shared" ref="H1491" si="923">H1492</f>
        <v>3.5370833501607003E-2</v>
      </c>
      <c r="I1491" s="3">
        <f t="shared" ref="I1491" si="924">I1492</f>
        <v>3.726366700321395E-2</v>
      </c>
      <c r="J1491" s="3">
        <f t="shared" ref="J1491" si="925">J1492</f>
        <v>3.9048512196511807E-2</v>
      </c>
      <c r="K1491" s="3">
        <f t="shared" ref="K1491" si="926">K1492</f>
        <v>4.0347931071859175E-2</v>
      </c>
    </row>
    <row r="1492" spans="2:11" x14ac:dyDescent="0.3">
      <c r="B1492" s="5" t="str">
        <f t="shared" si="887"/>
        <v>SPS3</v>
      </c>
      <c r="C1492" s="5" t="str">
        <f t="shared" si="921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3.5370833501607003E-2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3.726366700321395E-2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3.9048512196511807E-2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4.0347931071859175E-2</v>
      </c>
    </row>
    <row r="1493" spans="2:11" x14ac:dyDescent="0.3">
      <c r="B1493" s="9" t="str">
        <f t="shared" si="887"/>
        <v>SPS3</v>
      </c>
      <c r="C1493" s="9" t="str">
        <f t="shared" si="921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3">
      <c r="B1494" s="5" t="str">
        <f t="shared" si="887"/>
        <v>SPS3</v>
      </c>
      <c r="C1494" s="5" t="str">
        <f t="shared" si="921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27">G1492/G1490</f>
        <v>5.5669024657354786E-2</v>
      </c>
      <c r="H1494" s="1">
        <f t="shared" si="927"/>
        <v>5.3730114304652132E-2</v>
      </c>
      <c r="I1494" s="1">
        <f t="shared" si="927"/>
        <v>5.049859705014785E-2</v>
      </c>
      <c r="J1494" s="1">
        <f t="shared" si="927"/>
        <v>5.0498597050147948E-2</v>
      </c>
      <c r="K1494" s="1">
        <f t="shared" si="927"/>
        <v>5.0498597050147906E-2</v>
      </c>
    </row>
    <row r="1495" spans="2:11" x14ac:dyDescent="0.3">
      <c r="B1495" s="9" t="str">
        <f t="shared" si="887"/>
        <v>SPS3</v>
      </c>
      <c r="C1495" s="9" t="str">
        <f t="shared" si="921"/>
        <v>CH</v>
      </c>
      <c r="D1495" s="2" t="s">
        <v>1488</v>
      </c>
      <c r="E1495" s="2" t="s">
        <v>8</v>
      </c>
      <c r="F1495" s="3">
        <f>SUM(F1496,F1501,F1506)</f>
        <v>2.3798500926818815</v>
      </c>
      <c r="G1495" s="3">
        <f t="shared" ref="G1495:K1495" si="928">SUM(G1496,G1501,G1506)</f>
        <v>1.9938045177607451</v>
      </c>
      <c r="H1495" s="3">
        <f t="shared" si="928"/>
        <v>1.5658167924124848</v>
      </c>
      <c r="I1495" s="3">
        <f t="shared" si="928"/>
        <v>0.17567200601250707</v>
      </c>
      <c r="J1495" s="3">
        <f t="shared" si="928"/>
        <v>0.52901903309926213</v>
      </c>
      <c r="K1495" s="3">
        <f t="shared" si="928"/>
        <v>0.31180053657810347</v>
      </c>
    </row>
    <row r="1496" spans="2:11" x14ac:dyDescent="0.3">
      <c r="B1496" s="5" t="str">
        <f t="shared" si="887"/>
        <v>SPS3</v>
      </c>
      <c r="C1496" t="str">
        <f t="shared" ref="C1496:C1500" si="929">C1495</f>
        <v>CH</v>
      </c>
      <c r="D1496" t="s">
        <v>1489</v>
      </c>
      <c r="E1496" t="str">
        <f>E1495</f>
        <v>PJ/yr.</v>
      </c>
      <c r="F1496" s="1">
        <f>SUM(F1497:F1500)</f>
        <v>5.7727376413621674E-3</v>
      </c>
      <c r="G1496" s="1">
        <f t="shared" ref="G1496:K1496" si="930">SUM(G1497:G1500)</f>
        <v>3.0270972794271864E-2</v>
      </c>
      <c r="H1496" s="1">
        <f t="shared" si="930"/>
        <v>6.1633715524814767E-2</v>
      </c>
      <c r="I1496" s="1">
        <f t="shared" si="930"/>
        <v>0.17546154507975048</v>
      </c>
      <c r="J1496" s="1">
        <f t="shared" si="930"/>
        <v>9.6010154845472276E-2</v>
      </c>
      <c r="K1496" s="1">
        <f t="shared" si="930"/>
        <v>0.13190963569206501</v>
      </c>
    </row>
    <row r="1497" spans="2:11" x14ac:dyDescent="0.3">
      <c r="B1497" t="str">
        <f t="shared" si="887"/>
        <v>SPS3</v>
      </c>
      <c r="C1497" t="str">
        <f t="shared" si="929"/>
        <v>CH</v>
      </c>
      <c r="D1497" t="s">
        <v>1490</v>
      </c>
      <c r="E1497" t="str">
        <f t="shared" ref="E1497:E1500" si="931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3.9057818846448536E-3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2.694385584366946E-2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5.7080122991856767E-2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0.17069607633816236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9.0140578061298979E-2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0.12809846569454375</v>
      </c>
    </row>
    <row r="1498" spans="2:11" x14ac:dyDescent="0.3">
      <c r="B1498" t="str">
        <f t="shared" si="887"/>
        <v>SPS3</v>
      </c>
      <c r="C1498" t="str">
        <f t="shared" si="929"/>
        <v>CH</v>
      </c>
      <c r="D1498" t="s">
        <v>1491</v>
      </c>
      <c r="E1498" t="str">
        <f t="shared" si="931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7.9030312091950034E-4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1.3819655042561563E-3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1.8780667214194811E-3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1.9710648961356915E-3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1.758420201068499E-3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1.2412888439936591E-3</v>
      </c>
    </row>
    <row r="1499" spans="2:11" x14ac:dyDescent="0.3">
      <c r="B1499" t="str">
        <f t="shared" si="887"/>
        <v>SPS3</v>
      </c>
      <c r="C1499" t="str">
        <f t="shared" si="929"/>
        <v>CH</v>
      </c>
      <c r="D1499" t="s">
        <v>1493</v>
      </c>
      <c r="E1499" t="str">
        <f t="shared" si="931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4.6444284427552977E-4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8.5884155984635531E-4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1.1799961057461423E-3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1.2700330651827113E-3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1.6552620352826288E-3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1.0097489942467559E-3</v>
      </c>
    </row>
    <row r="1500" spans="2:11" x14ac:dyDescent="0.3">
      <c r="B1500" t="str">
        <f t="shared" si="887"/>
        <v>SPS3</v>
      </c>
      <c r="C1500" t="str">
        <f t="shared" si="929"/>
        <v>CH</v>
      </c>
      <c r="D1500" t="s">
        <v>1492</v>
      </c>
      <c r="E1500" t="str">
        <f t="shared" si="931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6.1220979152228387E-4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1.086309886499891E-3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1.4955297057923742E-3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1.5243707802697097E-3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2.4558945478221654E-3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1.5601321592808705E-3</v>
      </c>
    </row>
    <row r="1501" spans="2:11" x14ac:dyDescent="0.3">
      <c r="B1501" s="5" t="str">
        <f t="shared" si="887"/>
        <v>SPS3</v>
      </c>
      <c r="C1501" t="str">
        <f t="shared" ref="C1501:C1505" si="932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33">SUM(G1502:G1505)</f>
        <v>0</v>
      </c>
      <c r="H1501" s="1">
        <f t="shared" si="933"/>
        <v>0</v>
      </c>
      <c r="I1501" s="1">
        <f t="shared" si="933"/>
        <v>0</v>
      </c>
      <c r="J1501" s="1">
        <f t="shared" si="933"/>
        <v>2.5355996542833184E-3</v>
      </c>
      <c r="K1501" s="1">
        <f t="shared" si="933"/>
        <v>2.9251254505379461E-3</v>
      </c>
    </row>
    <row r="1502" spans="2:11" x14ac:dyDescent="0.3">
      <c r="B1502" t="str">
        <f t="shared" si="887"/>
        <v>SPS3</v>
      </c>
      <c r="C1502" t="str">
        <f t="shared" si="932"/>
        <v>CH</v>
      </c>
      <c r="D1502" t="s">
        <v>1495</v>
      </c>
      <c r="E1502" t="str">
        <f t="shared" ref="E1502:E1505" si="93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0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8.8235818036248631E-4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9.6785426637597009E-4</v>
      </c>
    </row>
    <row r="1503" spans="2:11" x14ac:dyDescent="0.3">
      <c r="B1503" t="str">
        <f t="shared" si="887"/>
        <v>SPS3</v>
      </c>
      <c r="C1503" t="str">
        <f t="shared" si="932"/>
        <v>CH</v>
      </c>
      <c r="D1503" t="s">
        <v>1496</v>
      </c>
      <c r="E1503" t="str">
        <f t="shared" si="93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0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6.7535437335280025E-4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6.8544331960380532E-4</v>
      </c>
    </row>
    <row r="1504" spans="2:11" x14ac:dyDescent="0.3">
      <c r="B1504" t="str">
        <f t="shared" si="887"/>
        <v>SPS3</v>
      </c>
      <c r="C1504" t="str">
        <f t="shared" si="932"/>
        <v>CH</v>
      </c>
      <c r="D1504" t="s">
        <v>1497</v>
      </c>
      <c r="E1504" t="str">
        <f t="shared" si="93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0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5.8781569010274936E-4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7.2609188264830535E-4</v>
      </c>
    </row>
    <row r="1505" spans="2:11" x14ac:dyDescent="0.3">
      <c r="B1505" t="str">
        <f t="shared" si="887"/>
        <v>SPS3</v>
      </c>
      <c r="C1505" t="str">
        <f t="shared" si="932"/>
        <v>CH</v>
      </c>
      <c r="D1505" t="s">
        <v>1498</v>
      </c>
      <c r="E1505" t="str">
        <f t="shared" si="93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0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3.9007141046528234E-4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5.4573598190986558E-4</v>
      </c>
    </row>
    <row r="1506" spans="2:11" x14ac:dyDescent="0.3">
      <c r="B1506" s="5" t="str">
        <f t="shared" si="887"/>
        <v>SPS3</v>
      </c>
      <c r="C1506" t="str">
        <f t="shared" ref="C1506:C1516" si="935">C1505</f>
        <v>CH</v>
      </c>
      <c r="D1506" t="s">
        <v>1499</v>
      </c>
      <c r="E1506" t="str">
        <f>E1505</f>
        <v>PJ/yr.</v>
      </c>
      <c r="F1506" s="1">
        <f>SUM(F1511:F1515)</f>
        <v>2.3740773550405194</v>
      </c>
      <c r="G1506" s="1">
        <f t="shared" ref="G1506:K1506" si="936">SUM(G1511:G1515)</f>
        <v>1.9635335449664733</v>
      </c>
      <c r="H1506" s="1">
        <f t="shared" si="936"/>
        <v>1.5041830768876701</v>
      </c>
      <c r="I1506" s="1">
        <f t="shared" si="936"/>
        <v>2.1046093275659748E-4</v>
      </c>
      <c r="J1506" s="1">
        <f t="shared" si="936"/>
        <v>0.43047327859950657</v>
      </c>
      <c r="K1506" s="1">
        <f t="shared" si="936"/>
        <v>0.17696577543550054</v>
      </c>
    </row>
    <row r="1507" spans="2:11" x14ac:dyDescent="0.3">
      <c r="B1507" s="5" t="str">
        <f t="shared" si="887"/>
        <v>SPS3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2.2441131866017603</v>
      </c>
      <c r="G1507" s="1">
        <f t="shared" ref="G1507:K1507" si="937">G1506-G1508</f>
        <v>1.8560192031808456</v>
      </c>
      <c r="H1507" s="1">
        <f t="shared" si="937"/>
        <v>1.4217865953194766</v>
      </c>
      <c r="I1507" s="1">
        <f t="shared" si="937"/>
        <v>1.6227044663857408E-4</v>
      </c>
      <c r="J1507" s="1">
        <f t="shared" si="937"/>
        <v>1.0912098902513767E-2</v>
      </c>
      <c r="K1507" s="1">
        <f t="shared" si="937"/>
        <v>-5.6224065606449991E-4</v>
      </c>
    </row>
    <row r="1508" spans="2:11" x14ac:dyDescent="0.3">
      <c r="B1508" s="5" t="str">
        <f t="shared" si="887"/>
        <v>SPS3</v>
      </c>
      <c r="C1508" s="5" t="str">
        <f t="shared" ref="C1508:C1510" si="938">C1507</f>
        <v>CH</v>
      </c>
      <c r="D1508" t="s">
        <v>1501</v>
      </c>
      <c r="E1508" t="str">
        <f>E1507</f>
        <v>PJ/yr.</v>
      </c>
      <c r="F1508" s="1">
        <f>SUM(F1509:F1510)</f>
        <v>0.1299641684387593</v>
      </c>
      <c r="G1508" s="1">
        <f t="shared" ref="G1508" si="939">SUM(G1509:G1510)</f>
        <v>0.1075143417856277</v>
      </c>
      <c r="H1508" s="1">
        <f t="shared" ref="H1508" si="940">SUM(H1509:H1510)</f>
        <v>8.2396481568193528E-2</v>
      </c>
      <c r="I1508" s="1">
        <f t="shared" ref="I1508" si="941">SUM(I1509:I1510)</f>
        <v>4.8190486118023389E-5</v>
      </c>
      <c r="J1508" s="1">
        <f t="shared" ref="J1508" si="942">SUM(J1509:J1510)</f>
        <v>0.4195611796969928</v>
      </c>
      <c r="K1508" s="1">
        <f t="shared" ref="K1508" si="943">SUM(K1509:K1510)</f>
        <v>0.17752801609156504</v>
      </c>
    </row>
    <row r="1509" spans="2:11" x14ac:dyDescent="0.3">
      <c r="B1509" s="5" t="str">
        <f t="shared" si="887"/>
        <v>SPS3</v>
      </c>
      <c r="C1509" s="5" t="str">
        <f t="shared" si="938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0.1299641684387593</v>
      </c>
      <c r="G1509" s="1">
        <f>[1]Transport!C$25/SUM([1]Transport!C$21,[1]Transport!C$25)*G1506*(G$34+G$598)/(G$34+G$598+G$37)</f>
        <v>0.1075143417856277</v>
      </c>
      <c r="H1509" s="1">
        <f>[1]Transport!D$25/SUM([1]Transport!D$21,[1]Transport!D$25)*H1506*(H$34+H$598)/(H$34+H$598+H$37)</f>
        <v>8.2396481568193528E-2</v>
      </c>
      <c r="I1509" s="1">
        <f>[1]Transport!E$25/SUM([1]Transport!E$21,[1]Transport!E$25)*I1506*(I$34+I$598)/(I$34+I$598+I$37)</f>
        <v>4.8190486118023389E-5</v>
      </c>
      <c r="J1509" s="1">
        <f>[1]Transport!F$25/SUM([1]Transport!F$21,[1]Transport!F$25)*J1506*(J$34+J$598)/(J$34+J$598+J$37)</f>
        <v>0.11921593339708325</v>
      </c>
      <c r="K1509" s="1">
        <f>[1]Transport!G$25/SUM([1]Transport!G$21,[1]Transport!G$25)*K1506*(K$34+K$598)/(K$34+K$598+K$37)</f>
        <v>0.13927442055320552</v>
      </c>
    </row>
    <row r="1510" spans="2:11" x14ac:dyDescent="0.3">
      <c r="B1510" s="5" t="str">
        <f t="shared" si="887"/>
        <v>SPS3</v>
      </c>
      <c r="C1510" s="5" t="str">
        <f t="shared" si="938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0.30034524629990955</v>
      </c>
      <c r="K1510" s="1">
        <f>(K$37+K$717)/([1]Transport!G$21+[1]Transport!G$25)*K1506</f>
        <v>3.8253595538359539E-2</v>
      </c>
    </row>
    <row r="1511" spans="2:11" x14ac:dyDescent="0.3">
      <c r="B1511" t="str">
        <f t="shared" si="887"/>
        <v>SPS3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1.9245684674845811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1.4763119752542644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1.0021785657677245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4.881779716629155E-6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3">
      <c r="B1512" t="str">
        <f t="shared" si="887"/>
        <v>SPS3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4.3063970398917954E-2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5.1081241215521968E-2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5.0099180800312303E-2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4.2447257743163362E-5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0.42449182940990959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0.17121056369382551</v>
      </c>
    </row>
    <row r="1513" spans="2:11" x14ac:dyDescent="0.3">
      <c r="B1513" t="str">
        <f t="shared" si="887"/>
        <v>SPS3</v>
      </c>
      <c r="C1513" t="str">
        <f t="shared" si="935"/>
        <v>CH</v>
      </c>
      <c r="D1513" t="s">
        <v>1580</v>
      </c>
      <c r="E1513" t="str">
        <f t="shared" ref="E1513:E1515" si="944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0.10822274556847086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0.16254821981627363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0.15613885490038007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4.2998976621159578E-5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2.928189932984368E-3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2.1930802694915372E-3</v>
      </c>
    </row>
    <row r="1514" spans="2:11" x14ac:dyDescent="0.3">
      <c r="B1514" t="str">
        <f t="shared" si="887"/>
        <v>SPS3</v>
      </c>
      <c r="C1514" t="str">
        <f t="shared" si="935"/>
        <v>CH</v>
      </c>
      <c r="D1514" t="s">
        <v>1581</v>
      </c>
      <c r="E1514" t="str">
        <f t="shared" si="944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0.18120197043333133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0.20228525082652155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0.21812104014025591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5.5573876408424929E-5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1.7627947093295001E-3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2.0455013902827947E-3</v>
      </c>
    </row>
    <row r="1515" spans="2:11" x14ac:dyDescent="0.3">
      <c r="B1515" t="str">
        <f t="shared" si="887"/>
        <v>SPS3</v>
      </c>
      <c r="C1515" t="str">
        <f t="shared" si="935"/>
        <v>CH</v>
      </c>
      <c r="D1515" t="s">
        <v>1582</v>
      </c>
      <c r="E1515" t="str">
        <f t="shared" si="944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0.11702020115521833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7.1306857853891903E-2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7.7645435278997088E-2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6.4559042267220475E-5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1.2904645472830874E-3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1.5166300819007337E-3</v>
      </c>
    </row>
    <row r="1516" spans="2:11" x14ac:dyDescent="0.3">
      <c r="B1516" s="9" t="str">
        <f t="shared" si="887"/>
        <v>SPS3</v>
      </c>
      <c r="C1516" s="9" t="str">
        <f t="shared" si="93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3">
      <c r="B1517" t="str">
        <f t="shared" si="887"/>
        <v>SPS3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4.3349988064151954E-2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0.30033956598766914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0.63911806681797445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1.9357195245020893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1.0428977323682032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1.5190459411483388</v>
      </c>
    </row>
    <row r="1518" spans="2:11" x14ac:dyDescent="0.3">
      <c r="B1518" t="str">
        <f t="shared" si="887"/>
        <v>SPS3</v>
      </c>
      <c r="C1518" t="str">
        <f t="shared" ref="C1518:C1543" si="945">C1517</f>
        <v>CH</v>
      </c>
      <c r="D1518" t="s">
        <v>1506</v>
      </c>
      <c r="E1518" t="str">
        <f t="shared" ref="E1518:E1529" si="946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4.9666792175229527E-3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8.7022225219555993E-3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1.1864926786087767E-2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1.2510161836124776E-2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1.1503571865171867E-2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8.24500690824727E-3</v>
      </c>
    </row>
    <row r="1519" spans="2:11" x14ac:dyDescent="0.3">
      <c r="B1519" t="str">
        <f t="shared" si="887"/>
        <v>SPS3</v>
      </c>
      <c r="C1519" t="str">
        <f t="shared" si="945"/>
        <v>CH</v>
      </c>
      <c r="D1519" t="s">
        <v>1507</v>
      </c>
      <c r="E1519" t="str">
        <f t="shared" si="946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1.8996377754682526E-3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3.5218531705465037E-3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4.8570056016866711E-3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5.2547550010777922E-3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6.9798765475141255E-3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4.377777325369708E-3</v>
      </c>
    </row>
    <row r="1520" spans="2:11" x14ac:dyDescent="0.3">
      <c r="B1520" t="str">
        <f t="shared" si="887"/>
        <v>SPS3</v>
      </c>
      <c r="C1520" t="str">
        <f t="shared" si="945"/>
        <v>CH</v>
      </c>
      <c r="D1520" t="s">
        <v>1508</v>
      </c>
      <c r="E1520" t="str">
        <f t="shared" si="946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2.305002607873214E-3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4.1013896598938024E-3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5.6701771715287272E-3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5.8089011170584784E-3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9.4864475360982008E-3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6.1809782405999013E-3</v>
      </c>
    </row>
    <row r="1521" spans="2:11" x14ac:dyDescent="0.3">
      <c r="B1521" t="str">
        <f t="shared" si="887"/>
        <v>SPS3</v>
      </c>
      <c r="C1521" t="str">
        <f t="shared" si="945"/>
        <v>CH</v>
      </c>
      <c r="D1521" t="s">
        <v>1509</v>
      </c>
      <c r="E1521" t="str">
        <f t="shared" si="946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0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4.1943209938582584E-3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4.7251024981926045E-3</v>
      </c>
    </row>
    <row r="1522" spans="2:11" x14ac:dyDescent="0.3">
      <c r="B1522" t="str">
        <f t="shared" si="887"/>
        <v>SPS3</v>
      </c>
      <c r="C1522" t="str">
        <f t="shared" si="945"/>
        <v>CH</v>
      </c>
      <c r="D1522" t="s">
        <v>1510</v>
      </c>
      <c r="E1522" t="str">
        <f t="shared" si="946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0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1.8624172842673994E-3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1.9319482111211045E-3</v>
      </c>
    </row>
    <row r="1523" spans="2:11" x14ac:dyDescent="0.3">
      <c r="B1523" t="str">
        <f t="shared" si="887"/>
        <v>SPS3</v>
      </c>
      <c r="C1523" t="str">
        <f t="shared" si="945"/>
        <v>CH</v>
      </c>
      <c r="D1523" t="s">
        <v>1511</v>
      </c>
      <c r="E1523" t="str">
        <f t="shared" si="946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0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1.0541420638171849E-3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1.3294638069741229E-3</v>
      </c>
    </row>
    <row r="1524" spans="2:11" x14ac:dyDescent="0.3">
      <c r="B1524" t="str">
        <f t="shared" ref="B1524:B1587" si="947">B1523</f>
        <v>SPS3</v>
      </c>
      <c r="C1524" t="str">
        <f t="shared" si="945"/>
        <v>CH</v>
      </c>
      <c r="D1524" t="s">
        <v>1512</v>
      </c>
      <c r="E1524" t="str">
        <f t="shared" si="946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0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6.2302430009829335E-4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8.88173820922837E-4</v>
      </c>
    </row>
    <row r="1525" spans="2:11" x14ac:dyDescent="0.3">
      <c r="B1525" t="str">
        <f t="shared" si="947"/>
        <v>SPS3</v>
      </c>
      <c r="C1525" t="str">
        <f t="shared" si="945"/>
        <v>CH</v>
      </c>
      <c r="D1525" t="s">
        <v>1513</v>
      </c>
      <c r="E1525" t="str">
        <f t="shared" si="946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1.4841600449729093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1.162209373909922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0.81311574224174676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4.156987879140554E-6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3">
      <c r="B1526" t="str">
        <f t="shared" si="947"/>
        <v>SPS3</v>
      </c>
      <c r="C1526" t="str">
        <f t="shared" si="945"/>
        <v>CH</v>
      </c>
      <c r="D1526" t="s">
        <v>1514</v>
      </c>
      <c r="E1526" t="str">
        <f t="shared" si="946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8.2161044313794965E-2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9.7527825349986483E-2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9.5672106811994007E-2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8.2425929216088444E-5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0.88168908028553206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0.35754962082016611</v>
      </c>
    </row>
    <row r="1527" spans="2:11" x14ac:dyDescent="0.3">
      <c r="B1527" t="str">
        <f t="shared" si="947"/>
        <v>SPS3</v>
      </c>
      <c r="C1527" t="str">
        <f t="shared" si="945"/>
        <v>CH</v>
      </c>
      <c r="D1527" t="s">
        <v>1515</v>
      </c>
      <c r="E1527" t="str">
        <f t="shared" si="946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0.11934403792063662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0.17950568371671186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0.17243928829568222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4.8135510660220685E-5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3.4842202475548747E-3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2.6688903817213673E-3</v>
      </c>
    </row>
    <row r="1528" spans="2:11" x14ac:dyDescent="0.3">
      <c r="B1528" t="str">
        <f t="shared" si="947"/>
        <v>SPS3</v>
      </c>
      <c r="C1528" t="str">
        <f t="shared" si="945"/>
        <v>CH</v>
      </c>
      <c r="D1528" t="s">
        <v>1516</v>
      </c>
      <c r="E1528" t="str">
        <f t="shared" si="946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0.13217360614230492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0.14770449097237162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0.15927187653174152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4.1052563115943726E-5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1.3828743376837719E-3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1.6367254853662122E-3</v>
      </c>
    </row>
    <row r="1529" spans="2:11" x14ac:dyDescent="0.3">
      <c r="B1529" t="str">
        <f t="shared" si="947"/>
        <v>SPS3</v>
      </c>
      <c r="C1529" t="str">
        <f t="shared" si="945"/>
        <v>CH</v>
      </c>
      <c r="D1529" t="s">
        <v>1517</v>
      </c>
      <c r="E1529" t="str">
        <f t="shared" si="946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7.9082446809390736E-2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4.8235898550920461E-2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5.252579458209674E-2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4.4163911890356137E-5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9.3260522855252866E-4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1.1219015817898015E-3</v>
      </c>
    </row>
    <row r="1530" spans="2:11" x14ac:dyDescent="0.3">
      <c r="B1530" s="9" t="str">
        <f t="shared" si="947"/>
        <v>SPS3</v>
      </c>
      <c r="C1530" s="9" t="str">
        <f t="shared" si="945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3">
      <c r="B1531" t="str">
        <f t="shared" si="947"/>
        <v>SPS3</v>
      </c>
      <c r="C1531" t="str">
        <f t="shared" si="945"/>
        <v>CH</v>
      </c>
      <c r="D1531" t="s">
        <v>1520</v>
      </c>
      <c r="E1531" t="s">
        <v>1230</v>
      </c>
      <c r="F1531" s="1">
        <f t="shared" ref="F1531:K1534" si="948">IFERROR(F1517/F1497,"-")</f>
        <v>11.098927012431904</v>
      </c>
      <c r="G1531" s="1">
        <f t="shared" si="948"/>
        <v>11.146866570629861</v>
      </c>
      <c r="H1531" s="1">
        <f t="shared" si="948"/>
        <v>11.196858614147574</v>
      </c>
      <c r="I1531" s="1">
        <f t="shared" si="948"/>
        <v>11.340152427799667</v>
      </c>
      <c r="J1531" s="1">
        <f t="shared" si="948"/>
        <v>11.569680989387416</v>
      </c>
      <c r="K1531" s="1">
        <f t="shared" si="948"/>
        <v>11.858424165442923</v>
      </c>
    </row>
    <row r="1532" spans="2:11" x14ac:dyDescent="0.3">
      <c r="B1532" t="str">
        <f t="shared" si="947"/>
        <v>SPS3</v>
      </c>
      <c r="C1532" t="str">
        <f t="shared" si="945"/>
        <v>CH</v>
      </c>
      <c r="D1532" t="s">
        <v>1521</v>
      </c>
      <c r="E1532" t="s">
        <v>1230</v>
      </c>
      <c r="F1532" s="1">
        <f t="shared" si="948"/>
        <v>6.2845243629359961</v>
      </c>
      <c r="G1532" s="1">
        <f t="shared" si="948"/>
        <v>6.2969896825605467</v>
      </c>
      <c r="H1532" s="1">
        <f t="shared" si="948"/>
        <v>6.3176279366262422</v>
      </c>
      <c r="I1532" s="1">
        <f t="shared" si="948"/>
        <v>6.3469050971640639</v>
      </c>
      <c r="J1532" s="1">
        <f t="shared" si="948"/>
        <v>6.541992555693886</v>
      </c>
      <c r="K1532" s="1">
        <f t="shared" si="948"/>
        <v>6.6422951822560545</v>
      </c>
    </row>
    <row r="1533" spans="2:11" x14ac:dyDescent="0.3">
      <c r="B1533" t="str">
        <f t="shared" si="947"/>
        <v>SPS3</v>
      </c>
      <c r="C1533" t="str">
        <f t="shared" si="945"/>
        <v>CH</v>
      </c>
      <c r="D1533" t="s">
        <v>1522</v>
      </c>
      <c r="E1533" t="s">
        <v>1230</v>
      </c>
      <c r="F1533" s="1">
        <f t="shared" si="948"/>
        <v>4.0901432735634877</v>
      </c>
      <c r="G1533" s="1">
        <f t="shared" si="948"/>
        <v>4.1007018467720107</v>
      </c>
      <c r="H1533" s="1">
        <f t="shared" si="948"/>
        <v>4.116120026188951</v>
      </c>
      <c r="I1533" s="1">
        <f t="shared" si="948"/>
        <v>4.1374946409933235</v>
      </c>
      <c r="J1533" s="1">
        <f t="shared" si="948"/>
        <v>4.2167804243286122</v>
      </c>
      <c r="K1533" s="1">
        <f t="shared" si="948"/>
        <v>4.3355104588496332</v>
      </c>
    </row>
    <row r="1534" spans="2:11" x14ac:dyDescent="0.3">
      <c r="B1534" t="str">
        <f t="shared" si="947"/>
        <v>SPS3</v>
      </c>
      <c r="C1534" t="str">
        <f t="shared" si="945"/>
        <v>CH</v>
      </c>
      <c r="D1534" t="s">
        <v>1523</v>
      </c>
      <c r="E1534" t="s">
        <v>1230</v>
      </c>
      <c r="F1534" s="1">
        <f t="shared" si="948"/>
        <v>3.7650534829600386</v>
      </c>
      <c r="G1534" s="1">
        <f t="shared" si="948"/>
        <v>3.7755245633532342</v>
      </c>
      <c r="H1534" s="1">
        <f t="shared" si="948"/>
        <v>3.7914172814939211</v>
      </c>
      <c r="I1534" s="1">
        <f t="shared" si="948"/>
        <v>3.8106877881972383</v>
      </c>
      <c r="J1534" s="1">
        <f t="shared" si="948"/>
        <v>3.862725923843342</v>
      </c>
      <c r="K1534" s="1">
        <f t="shared" si="948"/>
        <v>3.9618299025699018</v>
      </c>
    </row>
    <row r="1535" spans="2:11" x14ac:dyDescent="0.3">
      <c r="B1535" t="str">
        <f t="shared" si="947"/>
        <v>SPS3</v>
      </c>
      <c r="C1535" t="str">
        <f t="shared" si="945"/>
        <v>CH</v>
      </c>
      <c r="D1535" t="s">
        <v>1524</v>
      </c>
      <c r="E1535" t="s">
        <v>1230</v>
      </c>
      <c r="F1535" s="1" t="str">
        <f t="shared" ref="F1535:K1538" si="949">IFERROR(F1521/F1502,"-")</f>
        <v>-</v>
      </c>
      <c r="G1535" s="1" t="str">
        <f t="shared" si="949"/>
        <v>-</v>
      </c>
      <c r="H1535" s="1" t="str">
        <f t="shared" si="949"/>
        <v>-</v>
      </c>
      <c r="I1535" s="1" t="str">
        <f t="shared" si="949"/>
        <v>-</v>
      </c>
      <c r="J1535" s="1">
        <f t="shared" si="949"/>
        <v>4.7535355677613449</v>
      </c>
      <c r="K1535" s="1">
        <f t="shared" si="949"/>
        <v>4.8820392308495579</v>
      </c>
    </row>
    <row r="1536" spans="2:11" x14ac:dyDescent="0.3">
      <c r="B1536" t="str">
        <f t="shared" si="947"/>
        <v>SPS3</v>
      </c>
      <c r="C1536" t="str">
        <f t="shared" si="945"/>
        <v>CH</v>
      </c>
      <c r="D1536" t="s">
        <v>1525</v>
      </c>
      <c r="E1536" t="s">
        <v>1230</v>
      </c>
      <c r="F1536" s="1" t="str">
        <f t="shared" si="949"/>
        <v>-</v>
      </c>
      <c r="G1536" s="1" t="str">
        <f t="shared" si="949"/>
        <v>-</v>
      </c>
      <c r="H1536" s="1" t="str">
        <f t="shared" si="949"/>
        <v>-</v>
      </c>
      <c r="I1536" s="1" t="str">
        <f t="shared" si="949"/>
        <v>-</v>
      </c>
      <c r="J1536" s="1">
        <f t="shared" si="949"/>
        <v>2.7576889374705895</v>
      </c>
      <c r="K1536" s="1">
        <f t="shared" si="949"/>
        <v>2.818538245055469</v>
      </c>
    </row>
    <row r="1537" spans="2:11" x14ac:dyDescent="0.3">
      <c r="B1537" t="str">
        <f t="shared" si="947"/>
        <v>SPS3</v>
      </c>
      <c r="C1537" t="str">
        <f t="shared" si="945"/>
        <v>CH</v>
      </c>
      <c r="D1537" t="s">
        <v>1526</v>
      </c>
      <c r="E1537" t="s">
        <v>1230</v>
      </c>
      <c r="F1537" s="1" t="str">
        <f t="shared" si="949"/>
        <v>-</v>
      </c>
      <c r="G1537" s="1" t="str">
        <f t="shared" si="949"/>
        <v>-</v>
      </c>
      <c r="H1537" s="1" t="str">
        <f t="shared" si="949"/>
        <v>-</v>
      </c>
      <c r="I1537" s="1" t="str">
        <f t="shared" si="949"/>
        <v>-</v>
      </c>
      <c r="J1537" s="1">
        <f t="shared" si="949"/>
        <v>1.7933207322739588</v>
      </c>
      <c r="K1537" s="1">
        <f t="shared" si="949"/>
        <v>1.8309856352134304</v>
      </c>
    </row>
    <row r="1538" spans="2:11" x14ac:dyDescent="0.3">
      <c r="B1538" t="str">
        <f t="shared" si="947"/>
        <v>SPS3</v>
      </c>
      <c r="C1538" t="str">
        <f t="shared" si="945"/>
        <v>CH</v>
      </c>
      <c r="D1538" t="s">
        <v>1527</v>
      </c>
      <c r="E1538" t="s">
        <v>1230</v>
      </c>
      <c r="F1538" s="1" t="str">
        <f t="shared" si="949"/>
        <v>-</v>
      </c>
      <c r="G1538" s="1" t="str">
        <f t="shared" si="949"/>
        <v>-</v>
      </c>
      <c r="H1538" s="1" t="str">
        <f t="shared" si="949"/>
        <v>-</v>
      </c>
      <c r="I1538" s="1" t="str">
        <f t="shared" si="949"/>
        <v>-</v>
      </c>
      <c r="J1538" s="1">
        <f t="shared" si="949"/>
        <v>1.5972057510063138</v>
      </c>
      <c r="K1538" s="1">
        <f t="shared" si="949"/>
        <v>1.6274789465311981</v>
      </c>
    </row>
    <row r="1539" spans="2:11" x14ac:dyDescent="0.3">
      <c r="B1539" t="str">
        <f t="shared" si="947"/>
        <v>SPS3</v>
      </c>
      <c r="C1539" t="str">
        <f t="shared" si="945"/>
        <v>CH</v>
      </c>
      <c r="D1539" t="s">
        <v>1583</v>
      </c>
      <c r="E1539" t="s">
        <v>1230</v>
      </c>
      <c r="F1539" s="1">
        <f t="shared" ref="F1539:K1543" si="950">IFERROR(F1525/F1511,"-")</f>
        <v>0.77116510534577787</v>
      </c>
      <c r="G1539" s="1">
        <f t="shared" si="950"/>
        <v>0.78723832996731957</v>
      </c>
      <c r="H1539" s="1">
        <f t="shared" si="950"/>
        <v>0.81134816689963318</v>
      </c>
      <c r="I1539" s="1">
        <f t="shared" si="950"/>
        <v>0.85153122845348983</v>
      </c>
      <c r="J1539" s="1" t="str">
        <f t="shared" si="950"/>
        <v>-</v>
      </c>
      <c r="K1539" s="1" t="str">
        <f t="shared" si="950"/>
        <v>-</v>
      </c>
    </row>
    <row r="1540" spans="2:11" x14ac:dyDescent="0.3">
      <c r="B1540" t="str">
        <f t="shared" si="947"/>
        <v>SPS3</v>
      </c>
      <c r="C1540" t="str">
        <f t="shared" si="945"/>
        <v>CH</v>
      </c>
      <c r="D1540" t="s">
        <v>1584</v>
      </c>
      <c r="E1540" t="s">
        <v>1230</v>
      </c>
      <c r="F1540" s="1">
        <f t="shared" si="950"/>
        <v>1.9078836334110842</v>
      </c>
      <c r="G1540" s="1">
        <f t="shared" si="950"/>
        <v>1.9092689024234375</v>
      </c>
      <c r="H1540" s="1">
        <f t="shared" si="950"/>
        <v>1.9096541157694462</v>
      </c>
      <c r="I1540" s="1">
        <f t="shared" si="950"/>
        <v>1.9418434452191231</v>
      </c>
      <c r="J1540" s="1">
        <f t="shared" si="950"/>
        <v>2.0770460564840012</v>
      </c>
      <c r="K1540" s="1">
        <f t="shared" si="950"/>
        <v>2.0883619159129063</v>
      </c>
    </row>
    <row r="1541" spans="2:11" x14ac:dyDescent="0.3">
      <c r="B1541" t="str">
        <f t="shared" si="947"/>
        <v>SPS3</v>
      </c>
      <c r="C1541" t="str">
        <f t="shared" si="945"/>
        <v>CH</v>
      </c>
      <c r="D1541" t="s">
        <v>1585</v>
      </c>
      <c r="E1541" t="s">
        <v>1230</v>
      </c>
      <c r="F1541" s="1">
        <f t="shared" si="950"/>
        <v>1.102762984747319</v>
      </c>
      <c r="G1541" s="1">
        <f t="shared" si="950"/>
        <v>1.1043226675727673</v>
      </c>
      <c r="H1541" s="1">
        <f t="shared" si="950"/>
        <v>1.1043970343301299</v>
      </c>
      <c r="I1541" s="1">
        <f t="shared" si="950"/>
        <v>1.1194571229989099</v>
      </c>
      <c r="J1541" s="1">
        <f t="shared" si="950"/>
        <v>1.1898887460499561</v>
      </c>
      <c r="K1541" s="1">
        <f t="shared" si="950"/>
        <v>1.2169597341460494</v>
      </c>
    </row>
    <row r="1542" spans="2:11" x14ac:dyDescent="0.3">
      <c r="B1542" t="str">
        <f t="shared" si="947"/>
        <v>SPS3</v>
      </c>
      <c r="C1542" t="str">
        <f t="shared" si="945"/>
        <v>CH</v>
      </c>
      <c r="D1542" t="s">
        <v>1586</v>
      </c>
      <c r="E1542" t="s">
        <v>1230</v>
      </c>
      <c r="F1542" s="1">
        <f t="shared" si="950"/>
        <v>0.729426980436368</v>
      </c>
      <c r="G1542" s="1">
        <f t="shared" si="950"/>
        <v>0.7301792412885405</v>
      </c>
      <c r="H1542" s="1">
        <f t="shared" si="950"/>
        <v>0.73019950954445623</v>
      </c>
      <c r="I1542" s="1">
        <f t="shared" si="950"/>
        <v>0.7387025302003265</v>
      </c>
      <c r="J1542" s="1">
        <f t="shared" si="950"/>
        <v>0.78447837990718983</v>
      </c>
      <c r="K1542" s="1">
        <f t="shared" si="950"/>
        <v>0.80015857879223029</v>
      </c>
    </row>
    <row r="1543" spans="2:11" x14ac:dyDescent="0.3">
      <c r="B1543" t="str">
        <f t="shared" si="947"/>
        <v>SPS3</v>
      </c>
      <c r="C1543" t="str">
        <f t="shared" si="945"/>
        <v>CH</v>
      </c>
      <c r="D1543" t="s">
        <v>1587</v>
      </c>
      <c r="E1543" t="s">
        <v>1230</v>
      </c>
      <c r="F1543" s="1">
        <f t="shared" si="950"/>
        <v>0.67580166525687246</v>
      </c>
      <c r="G1543" s="1">
        <f t="shared" si="950"/>
        <v>0.67645525272977325</v>
      </c>
      <c r="H1543" s="1">
        <f t="shared" si="950"/>
        <v>0.67648271135785421</v>
      </c>
      <c r="I1543" s="1">
        <f t="shared" si="950"/>
        <v>0.68408561123869305</v>
      </c>
      <c r="J1543" s="1">
        <f t="shared" si="950"/>
        <v>0.72268953883003839</v>
      </c>
      <c r="K1543" s="1">
        <f t="shared" si="950"/>
        <v>0.73973317236577929</v>
      </c>
    </row>
    <row r="1544" spans="2:11" x14ac:dyDescent="0.3">
      <c r="B1544" s="2" t="str">
        <f t="shared" si="947"/>
        <v>SPS3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16.723348303765302</v>
      </c>
      <c r="G1544" s="3">
        <f t="shared" ref="G1544:K1544" si="951">G1545+G1548+G1550+G1557+G1565</f>
        <v>15.593058413409386</v>
      </c>
      <c r="H1544" s="3">
        <f t="shared" si="951"/>
        <v>12.52434860669991</v>
      </c>
      <c r="I1544" s="3">
        <f t="shared" si="951"/>
        <v>9.2339069569445638</v>
      </c>
      <c r="J1544" s="3">
        <f t="shared" si="951"/>
        <v>8.1320596003112762</v>
      </c>
      <c r="K1544" s="3">
        <f t="shared" si="951"/>
        <v>8.5384422325057159</v>
      </c>
    </row>
    <row r="1545" spans="2:11" x14ac:dyDescent="0.3">
      <c r="B1545" t="str">
        <f t="shared" si="947"/>
        <v>SPS3</v>
      </c>
      <c r="C1545" t="str">
        <f t="shared" ref="C1545:C1590" si="952">C1544</f>
        <v>CH</v>
      </c>
      <c r="D1545" t="s">
        <v>1537</v>
      </c>
      <c r="E1545" t="str">
        <f>E1544</f>
        <v>PJ/yr.</v>
      </c>
      <c r="F1545" s="1">
        <f>SUM(F1546:F1547)</f>
        <v>7.376561068184731E-2</v>
      </c>
      <c r="G1545" s="1">
        <f t="shared" ref="G1545:K1545" si="953">SUM(G1546:G1547)</f>
        <v>0.11148639485280733</v>
      </c>
      <c r="H1545" s="1">
        <f t="shared" si="953"/>
        <v>5.3669676613664091E-2</v>
      </c>
      <c r="I1545" s="1">
        <f t="shared" si="953"/>
        <v>1.7396395046447224</v>
      </c>
      <c r="J1545" s="1">
        <f t="shared" si="953"/>
        <v>5.6836968390643596</v>
      </c>
      <c r="K1545" s="1">
        <f t="shared" si="953"/>
        <v>6.6134978845177388</v>
      </c>
    </row>
    <row r="1546" spans="2:11" x14ac:dyDescent="0.3">
      <c r="B1546" t="str">
        <f t="shared" si="947"/>
        <v>SPS3</v>
      </c>
      <c r="C1546" t="str">
        <f t="shared" si="952"/>
        <v>CH</v>
      </c>
      <c r="D1546" t="s">
        <v>1544</v>
      </c>
      <c r="E1546" t="str">
        <f t="shared" ref="E1546:E1570" si="954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3.9691749794785763E-2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3.4369073065030273E-2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2.5805174598275183E-2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1.324143640052034E-2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3">
      <c r="B1547" t="str">
        <f t="shared" si="947"/>
        <v>SPS3</v>
      </c>
      <c r="C1547" t="str">
        <f t="shared" si="952"/>
        <v>CH</v>
      </c>
      <c r="D1547" t="s">
        <v>1545</v>
      </c>
      <c r="E1547" t="str">
        <f t="shared" si="954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3.4073860887061554E-2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7.7117321787777054E-2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2.7864502015388908E-2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1.7263980682442019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5.6836968390643596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6.6134978845177388</v>
      </c>
    </row>
    <row r="1548" spans="2:11" x14ac:dyDescent="0.3">
      <c r="B1548" t="str">
        <f t="shared" si="947"/>
        <v>SPS3</v>
      </c>
      <c r="C1548" t="str">
        <f t="shared" si="952"/>
        <v>CH</v>
      </c>
      <c r="D1548" t="s">
        <v>1538</v>
      </c>
      <c r="E1548" t="str">
        <f t="shared" si="954"/>
        <v>PJ/yr.</v>
      </c>
      <c r="F1548" s="1">
        <f>F1549</f>
        <v>0</v>
      </c>
      <c r="G1548" s="1">
        <f t="shared" ref="G1548:K1548" si="955">G1549</f>
        <v>4.243081498683369E-4</v>
      </c>
      <c r="H1548" s="1">
        <f t="shared" si="955"/>
        <v>4.9220580121928721E-4</v>
      </c>
      <c r="I1548" s="1">
        <f t="shared" si="955"/>
        <v>0</v>
      </c>
      <c r="J1548" s="1">
        <f t="shared" si="955"/>
        <v>1.7380676826956151E-3</v>
      </c>
      <c r="K1548" s="1">
        <f t="shared" si="955"/>
        <v>3.3435540726006407E-2</v>
      </c>
    </row>
    <row r="1549" spans="2:11" x14ac:dyDescent="0.3">
      <c r="B1549" t="str">
        <f t="shared" si="947"/>
        <v>SPS3</v>
      </c>
      <c r="C1549" t="str">
        <f t="shared" si="952"/>
        <v>CH</v>
      </c>
      <c r="D1549" t="s">
        <v>1546</v>
      </c>
      <c r="E1549" t="str">
        <f t="shared" si="954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4.243081498683369E-4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4.9220580121928721E-4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0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1.7380676826956151E-3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3.3435540726006407E-2</v>
      </c>
    </row>
    <row r="1550" spans="2:11" x14ac:dyDescent="0.3">
      <c r="B1550" t="str">
        <f t="shared" si="947"/>
        <v>SPS3</v>
      </c>
      <c r="C1550" t="str">
        <f t="shared" si="952"/>
        <v>CH</v>
      </c>
      <c r="D1550" t="s">
        <v>1539</v>
      </c>
      <c r="E1550" t="str">
        <f t="shared" si="954"/>
        <v>PJ/yr.</v>
      </c>
      <c r="F1550" s="1">
        <f>SUM(F1555:F1556)</f>
        <v>1.2017149460869905</v>
      </c>
      <c r="G1550" s="1">
        <f t="shared" ref="G1550:K1550" si="956">SUM(G1555:G1556)</f>
        <v>2.3292522243558933</v>
      </c>
      <c r="H1550" s="1">
        <f t="shared" si="956"/>
        <v>0.56276237622357317</v>
      </c>
      <c r="I1550" s="1">
        <f t="shared" si="956"/>
        <v>5.0947052486086347E-4</v>
      </c>
      <c r="J1550" s="1">
        <f t="shared" si="956"/>
        <v>6.3948434585439163E-4</v>
      </c>
      <c r="K1550" s="1">
        <f t="shared" si="956"/>
        <v>6.7494814809792344E-4</v>
      </c>
    </row>
    <row r="1551" spans="2:11" x14ac:dyDescent="0.3">
      <c r="B1551" t="str">
        <f t="shared" si="947"/>
        <v>SPS3</v>
      </c>
      <c r="C1551" t="str">
        <f t="shared" si="952"/>
        <v>CH</v>
      </c>
      <c r="D1551" t="s">
        <v>1540</v>
      </c>
      <c r="E1551" t="str">
        <f t="shared" si="954"/>
        <v>PJ/yr.</v>
      </c>
      <c r="F1551" s="1">
        <f>F1550-F1552</f>
        <v>1.1359294385772916</v>
      </c>
      <c r="G1551" s="1">
        <f t="shared" ref="G1551:K1551" si="957">G1550-G1552</f>
        <v>2.2017127583781888</v>
      </c>
      <c r="H1551" s="1">
        <f t="shared" si="957"/>
        <v>0.53193525120650231</v>
      </c>
      <c r="I1551" s="1">
        <f t="shared" si="957"/>
        <v>3.9281404171088134E-4</v>
      </c>
      <c r="J1551" s="1">
        <f t="shared" si="957"/>
        <v>1.621033586863955E-5</v>
      </c>
      <c r="K1551" s="1">
        <f t="shared" si="957"/>
        <v>-2.1443880245331165E-6</v>
      </c>
    </row>
    <row r="1552" spans="2:11" x14ac:dyDescent="0.3">
      <c r="B1552" t="str">
        <f t="shared" si="947"/>
        <v>SPS3</v>
      </c>
      <c r="C1552" t="str">
        <f t="shared" si="952"/>
        <v>CH</v>
      </c>
      <c r="D1552" t="s">
        <v>1541</v>
      </c>
      <c r="E1552" t="str">
        <f t="shared" si="954"/>
        <v>PJ/yr.</v>
      </c>
      <c r="F1552" s="1">
        <f>SUM(F1553:F1554)</f>
        <v>6.5785507509698901E-2</v>
      </c>
      <c r="G1552" s="1">
        <f t="shared" ref="G1552:K1552" si="958">SUM(G1553:G1554)</f>
        <v>0.12753946597770452</v>
      </c>
      <c r="H1552" s="1">
        <f t="shared" si="958"/>
        <v>3.082712501707081E-2</v>
      </c>
      <c r="I1552" s="1">
        <f t="shared" si="958"/>
        <v>1.1665648314998212E-4</v>
      </c>
      <c r="J1552" s="1">
        <f t="shared" si="958"/>
        <v>6.2327400998575208E-4</v>
      </c>
      <c r="K1552" s="1">
        <f t="shared" si="958"/>
        <v>6.7709253612245656E-4</v>
      </c>
    </row>
    <row r="1553" spans="2:11" x14ac:dyDescent="0.3">
      <c r="B1553" t="str">
        <f t="shared" si="947"/>
        <v>SPS3</v>
      </c>
      <c r="C1553" t="str">
        <f t="shared" si="952"/>
        <v>CH</v>
      </c>
      <c r="D1553" t="s">
        <v>1542</v>
      </c>
      <c r="E1553" t="str">
        <f t="shared" si="954"/>
        <v>PJ/yr.</v>
      </c>
      <c r="F1553" s="1">
        <f>[1]Transport!B$25/SUM([1]Transport!B$21,[1]Transport!B$25)*F1550*(F$34+F$598)/(F$34+F$598+F$37)</f>
        <v>6.5785507509698901E-2</v>
      </c>
      <c r="G1553" s="1">
        <f>[1]Transport!C$25/SUM([1]Transport!C$21,[1]Transport!C$25)*G1550*(G$34+G$598)/(G$34+G$598+G$37)</f>
        <v>0.12753946597770452</v>
      </c>
      <c r="H1553" s="1">
        <f>[1]Transport!D$25/SUM([1]Transport!D$21,[1]Transport!D$25)*H1550*(H$34+H$598)/(H$34+H$598+H$37)</f>
        <v>3.082712501707081E-2</v>
      </c>
      <c r="I1553" s="1">
        <f>[1]Transport!E$25/SUM([1]Transport!E$21,[1]Transport!E$25)*I1550*(I$34+I$598)/(I$34+I$598+I$37)</f>
        <v>1.1665648314998212E-4</v>
      </c>
      <c r="J1553" s="1">
        <f>[1]Transport!F$25/SUM([1]Transport!F$21,[1]Transport!F$25)*J1550*(J$34+J$598)/(J$34+J$598+J$37)</f>
        <v>1.7709978057611748E-4</v>
      </c>
      <c r="K1553" s="1">
        <f>[1]Transport!G$25/SUM([1]Transport!G$21,[1]Transport!G$25)*K1550*(K$34+K$598)/(K$34+K$598+K$37)</f>
        <v>5.3119317562089349E-4</v>
      </c>
    </row>
    <row r="1554" spans="2:11" x14ac:dyDescent="0.3">
      <c r="B1554" t="str">
        <f t="shared" si="947"/>
        <v>SPS3</v>
      </c>
      <c r="C1554" t="str">
        <f t="shared" si="952"/>
        <v>CH</v>
      </c>
      <c r="D1554" t="s">
        <v>1543</v>
      </c>
      <c r="E1554" t="str">
        <f t="shared" si="954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4.461742294096346E-4</v>
      </c>
      <c r="K1554" s="1">
        <f>(K$37+K$717)/([1]Transport!G$21+[1]Transport!G$25)*K1550</f>
        <v>1.4589936050156312E-4</v>
      </c>
    </row>
    <row r="1555" spans="2:11" x14ac:dyDescent="0.3">
      <c r="B1555" t="str">
        <f t="shared" si="947"/>
        <v>SPS3</v>
      </c>
      <c r="C1555" t="str">
        <f t="shared" si="952"/>
        <v>CH</v>
      </c>
      <c r="D1555" t="s">
        <v>1589</v>
      </c>
      <c r="E1555" t="str">
        <f t="shared" si="954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0.83559801289607194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1.7552484860212292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0.54748099099308001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2.0958985374617471E-5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3">
      <c r="B1556" t="str">
        <f t="shared" si="947"/>
        <v>SPS3</v>
      </c>
      <c r="C1556" t="str">
        <f t="shared" si="952"/>
        <v>CH</v>
      </c>
      <c r="D1556" t="s">
        <v>1588</v>
      </c>
      <c r="E1556" t="str">
        <f t="shared" si="954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0.36611693319091843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0.57400373833466412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1.5281385230493147E-2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4.88511539486246E-4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6.3948434585439163E-4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6.7494814809792344E-4</v>
      </c>
    </row>
    <row r="1557" spans="2:11" x14ac:dyDescent="0.3">
      <c r="B1557" t="str">
        <f t="shared" si="947"/>
        <v>SPS3</v>
      </c>
      <c r="C1557" t="str">
        <f t="shared" si="952"/>
        <v>CH</v>
      </c>
      <c r="D1557" t="s">
        <v>1547</v>
      </c>
      <c r="E1557" t="str">
        <f t="shared" si="954"/>
        <v>PJ/yr.</v>
      </c>
      <c r="F1557" s="1">
        <f>SUM(F1562:F1564)</f>
        <v>15.423925825924618</v>
      </c>
      <c r="G1557" s="1">
        <f t="shared" ref="G1557:K1557" si="959">SUM(G1562:G1564)</f>
        <v>13.127146203889732</v>
      </c>
      <c r="H1557" s="1">
        <f t="shared" si="959"/>
        <v>11.887552108928151</v>
      </c>
      <c r="I1557" s="1">
        <f t="shared" si="959"/>
        <v>7.4931757786944715</v>
      </c>
      <c r="J1557" s="1">
        <f t="shared" si="959"/>
        <v>2.4449448887792919</v>
      </c>
      <c r="K1557" s="1">
        <f t="shared" si="959"/>
        <v>1.8898749861501063</v>
      </c>
    </row>
    <row r="1558" spans="2:11" x14ac:dyDescent="0.3">
      <c r="B1558" t="str">
        <f t="shared" si="947"/>
        <v>SPS3</v>
      </c>
      <c r="C1558" t="str">
        <f t="shared" si="952"/>
        <v>CH</v>
      </c>
      <c r="D1558" t="s">
        <v>1548</v>
      </c>
      <c r="E1558" t="str">
        <f t="shared" si="954"/>
        <v>PJ/yr.</v>
      </c>
      <c r="F1558" s="1">
        <f>F1557-F1559</f>
        <v>15.048946338310049</v>
      </c>
      <c r="G1558" s="1">
        <f t="shared" ref="G1558:K1558" si="960">G1557-G1559</f>
        <v>12.779495691613201</v>
      </c>
      <c r="H1558" s="1">
        <f t="shared" si="960"/>
        <v>11.489979638850293</v>
      </c>
      <c r="I1558" s="1">
        <f t="shared" si="960"/>
        <v>7.0747130702516037</v>
      </c>
      <c r="J1558" s="1">
        <f t="shared" si="960"/>
        <v>2.2338793651246829</v>
      </c>
      <c r="K1558" s="1">
        <f t="shared" si="960"/>
        <v>-0.30611521074649417</v>
      </c>
    </row>
    <row r="1559" spans="2:11" x14ac:dyDescent="0.3">
      <c r="B1559" t="str">
        <f t="shared" si="947"/>
        <v>SPS3</v>
      </c>
      <c r="C1559" t="str">
        <f t="shared" si="952"/>
        <v>CH</v>
      </c>
      <c r="D1559" t="s">
        <v>1549</v>
      </c>
      <c r="E1559" t="str">
        <f t="shared" si="954"/>
        <v>PJ/yr.</v>
      </c>
      <c r="F1559" s="1">
        <f>SUM(F1560:F1561)</f>
        <v>0.37497948761456967</v>
      </c>
      <c r="G1559" s="1">
        <f t="shared" ref="G1559:K1559" si="961">SUM(G1560:G1561)</f>
        <v>0.34765051227653082</v>
      </c>
      <c r="H1559" s="1">
        <f t="shared" si="961"/>
        <v>0.39757247007785829</v>
      </c>
      <c r="I1559" s="1">
        <f t="shared" si="961"/>
        <v>0.41846270844286765</v>
      </c>
      <c r="J1559" s="1">
        <f t="shared" si="961"/>
        <v>0.21106552365460896</v>
      </c>
      <c r="K1559" s="1">
        <f t="shared" si="961"/>
        <v>2.1959901968966005</v>
      </c>
    </row>
    <row r="1560" spans="2:11" x14ac:dyDescent="0.3">
      <c r="B1560" t="str">
        <f t="shared" si="947"/>
        <v>SPS3</v>
      </c>
      <c r="C1560" t="str">
        <f t="shared" si="952"/>
        <v>CH</v>
      </c>
      <c r="D1560" t="s">
        <v>1550</v>
      </c>
      <c r="E1560" t="str">
        <f t="shared" si="954"/>
        <v>PJ/yr.</v>
      </c>
      <c r="F1560" s="1">
        <f>[1]Transport!B$26/SUM([1]Transport!B$22,[1]Transport!B$26)*F1557*(F$33+F$580)/(F$33+F$580+F$36)</f>
        <v>0.37497948761456967</v>
      </c>
      <c r="G1560" s="1">
        <f>[1]Transport!C$26/SUM([1]Transport!C$22,[1]Transport!C$26)*G1557*(G$33+G$580)/(G$33+G$580+G$36)</f>
        <v>0.34765051227653082</v>
      </c>
      <c r="H1560" s="1">
        <f>[1]Transport!D$26/SUM([1]Transport!D$22,[1]Transport!D$26)*H1557*(H$33+H$580)/(H$33+H$580+H$36)</f>
        <v>0.39757247007785829</v>
      </c>
      <c r="I1560" s="1">
        <f>[1]Transport!E$26/SUM([1]Transport!E$22,[1]Transport!E$26)*I1557*(I$33+I$580)/(I$33+I$580+I$36)</f>
        <v>0.41846270844286765</v>
      </c>
      <c r="J1560" s="1">
        <f>[1]Transport!F$26/SUM([1]Transport!F$22,[1]Transport!F$26)*J1557*(J$33+J$580)/(J$33+J$580+J$36)</f>
        <v>0.14740653242399646</v>
      </c>
      <c r="K1560" s="1">
        <f>[1]Transport!G$26/SUM([1]Transport!G$22,[1]Transport!G$26)*K1557*(K$33+K$580)/(K$33+K$580+K$36)</f>
        <v>0.34039831827543876</v>
      </c>
    </row>
    <row r="1561" spans="2:11" x14ac:dyDescent="0.3">
      <c r="B1561" t="str">
        <f t="shared" si="947"/>
        <v>SPS3</v>
      </c>
      <c r="C1561" t="str">
        <f t="shared" si="952"/>
        <v>CH</v>
      </c>
      <c r="D1561" t="s">
        <v>1551</v>
      </c>
      <c r="E1561" t="str">
        <f t="shared" si="954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6.3658991230612486E-2</v>
      </c>
      <c r="K1561" s="1">
        <f>(K$36+K$716)/([1]Transport!G$22+[1]Transport!G$26)*K1557</f>
        <v>1.8555918786211616</v>
      </c>
    </row>
    <row r="1562" spans="2:11" x14ac:dyDescent="0.3">
      <c r="B1562" t="str">
        <f t="shared" si="947"/>
        <v>SPS3</v>
      </c>
      <c r="C1562" t="str">
        <f t="shared" si="952"/>
        <v>CH</v>
      </c>
      <c r="D1562" t="s">
        <v>1552</v>
      </c>
      <c r="E1562" t="str">
        <f t="shared" si="954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11.023059107323576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7.4544016521051555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5.4358085872881308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1.4391492628363917E-5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3">
      <c r="B1563" t="str">
        <f t="shared" si="947"/>
        <v>SPS3</v>
      </c>
      <c r="C1563" t="str">
        <f t="shared" si="952"/>
        <v>CH</v>
      </c>
      <c r="D1563" t="s">
        <v>1553</v>
      </c>
      <c r="E1563" t="str">
        <f t="shared" si="954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4.4008667186010424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5.243128981406656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1.649462301288597E-2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3.6527098962920525E-4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7.2789638010962207E-4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7.118984301149238E-4</v>
      </c>
    </row>
    <row r="1564" spans="2:11" x14ac:dyDescent="0.3">
      <c r="B1564" t="str">
        <f t="shared" si="947"/>
        <v>SPS3</v>
      </c>
      <c r="C1564" t="str">
        <f t="shared" si="952"/>
        <v>CH</v>
      </c>
      <c r="D1564" t="s">
        <v>1554</v>
      </c>
      <c r="E1564" t="str">
        <f t="shared" si="954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0.42961557037792092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6.435248898627135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7.4927961162122143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2.4442169923991823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1.8891630877199914</v>
      </c>
    </row>
    <row r="1565" spans="2:11" x14ac:dyDescent="0.3">
      <c r="B1565" t="str">
        <f t="shared" si="947"/>
        <v>SPS3</v>
      </c>
      <c r="C1565" t="str">
        <f t="shared" si="952"/>
        <v>CH</v>
      </c>
      <c r="D1565" t="s">
        <v>1555</v>
      </c>
      <c r="E1565" t="str">
        <f t="shared" si="954"/>
        <v>PJ/yr.</v>
      </c>
      <c r="F1565" s="1">
        <f>F1570</f>
        <v>2.394192107184542E-2</v>
      </c>
      <c r="G1565" s="1">
        <f t="shared" ref="G1565:K1565" si="962">G1570</f>
        <v>2.4749282161085944E-2</v>
      </c>
      <c r="H1565" s="1">
        <f t="shared" si="962"/>
        <v>1.9872239133300218E-2</v>
      </c>
      <c r="I1565" s="1">
        <f t="shared" si="962"/>
        <v>5.822030805083773E-4</v>
      </c>
      <c r="J1565" s="1">
        <f t="shared" si="962"/>
        <v>1.0403204390738191E-3</v>
      </c>
      <c r="K1565" s="1">
        <f t="shared" si="962"/>
        <v>9.5887296376749836E-4</v>
      </c>
    </row>
    <row r="1566" spans="2:11" x14ac:dyDescent="0.3">
      <c r="B1566" t="str">
        <f t="shared" si="947"/>
        <v>SPS3</v>
      </c>
      <c r="C1566" t="str">
        <f t="shared" si="952"/>
        <v>CH</v>
      </c>
      <c r="D1566" t="s">
        <v>1556</v>
      </c>
      <c r="E1566" t="str">
        <f t="shared" si="954"/>
        <v>PJ/yr.</v>
      </c>
      <c r="F1566" s="1">
        <f>F1565-F1567</f>
        <v>2.195358518780275E-2</v>
      </c>
      <c r="G1566" s="1">
        <f t="shared" ref="G1566:K1566" si="963">G1565-G1567</f>
        <v>2.2448815015028951E-2</v>
      </c>
      <c r="H1566" s="1">
        <f t="shared" si="963"/>
        <v>1.8100270487619374E-2</v>
      </c>
      <c r="I1566" s="1">
        <f t="shared" si="963"/>
        <v>4.8127347793178367E-4</v>
      </c>
      <c r="J1566" s="1">
        <f t="shared" si="963"/>
        <v>-5.235389435367185E-3</v>
      </c>
      <c r="K1566" s="1">
        <f t="shared" si="963"/>
        <v>-0.22481484463898102</v>
      </c>
    </row>
    <row r="1567" spans="2:11" x14ac:dyDescent="0.3">
      <c r="B1567" t="str">
        <f t="shared" si="947"/>
        <v>SPS3</v>
      </c>
      <c r="C1567" t="str">
        <f t="shared" si="952"/>
        <v>CH</v>
      </c>
      <c r="D1567" t="s">
        <v>1557</v>
      </c>
      <c r="E1567" t="str">
        <f t="shared" si="954"/>
        <v>PJ/yr.</v>
      </c>
      <c r="F1567" s="1">
        <f>SUM(F1568:F1569)</f>
        <v>1.988335884042671E-3</v>
      </c>
      <c r="G1567" s="1">
        <f t="shared" ref="G1567:K1567" si="964">SUM(G1568:G1569)</f>
        <v>2.3004671460569934E-3</v>
      </c>
      <c r="H1567" s="1">
        <f t="shared" si="964"/>
        <v>1.771968645680845E-3</v>
      </c>
      <c r="I1567" s="1">
        <f t="shared" si="964"/>
        <v>1.0092960257659363E-4</v>
      </c>
      <c r="J1567" s="1">
        <f t="shared" si="964"/>
        <v>6.275709874441004E-3</v>
      </c>
      <c r="K1567" s="1">
        <f t="shared" si="964"/>
        <v>0.22577371760274853</v>
      </c>
    </row>
    <row r="1568" spans="2:11" x14ac:dyDescent="0.3">
      <c r="B1568" t="str">
        <f t="shared" si="947"/>
        <v>SPS3</v>
      </c>
      <c r="C1568" t="str">
        <f t="shared" si="952"/>
        <v>CH</v>
      </c>
      <c r="D1568" t="s">
        <v>1558</v>
      </c>
      <c r="E1568" t="str">
        <f t="shared" si="954"/>
        <v>PJ/yr.</v>
      </c>
      <c r="F1568" s="1">
        <f>[1]Transport!B$27/SUM([1]Transport!B$24,[1]Transport!B$27)*F1565*(F$45+F$612)/(F$45+F$612+F$47)</f>
        <v>1.988335884042671E-3</v>
      </c>
      <c r="G1568" s="1">
        <f>[1]Transport!C$27/SUM([1]Transport!C$24,[1]Transport!C$27)*G1565*(G$45+G$612)/(G$45+G$612+G$47)</f>
        <v>2.3004671460569934E-3</v>
      </c>
      <c r="H1568" s="1">
        <f>[1]Transport!D$27/SUM([1]Transport!D$24,[1]Transport!D$27)*H1565*(H$45+H$612)/(H$45+H$612+H$47)</f>
        <v>1.771968645680845E-3</v>
      </c>
      <c r="I1568" s="1">
        <f>[1]Transport!E$27/SUM([1]Transport!E$24,[1]Transport!E$27)*I1565*(I$45+I$612)/(I$45+I$612+I$47)</f>
        <v>1.0092960257659363E-4</v>
      </c>
      <c r="J1568" s="1">
        <f>[1]Transport!F$27/SUM([1]Transport!F$24,[1]Transport!F$27)*J1565*(J$45+J$612)/(J$45+J$612+J$47)</f>
        <v>2.6616224720184533E-4</v>
      </c>
      <c r="K1568" s="1">
        <f>[1]Transport!G$27/SUM([1]Transport!G$24,[1]Transport!G$27)*K1565*(K$45+K$612)/(K$45+K$612+K$47)</f>
        <v>2.347829371437361E-4</v>
      </c>
    </row>
    <row r="1569" spans="2:11" x14ac:dyDescent="0.3">
      <c r="B1569" t="str">
        <f t="shared" si="947"/>
        <v>SPS3</v>
      </c>
      <c r="C1569" t="str">
        <f t="shared" si="952"/>
        <v>CH</v>
      </c>
      <c r="D1569" t="s">
        <v>1559</v>
      </c>
      <c r="E1569" t="str">
        <f t="shared" si="954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6.0095476272391587E-3</v>
      </c>
      <c r="K1569" s="1">
        <f>(K$47+K$714)/([1]Transport!G$24+[1]Transport!G$27)*K1565</f>
        <v>0.22553893466560479</v>
      </c>
    </row>
    <row r="1570" spans="2:11" x14ac:dyDescent="0.3">
      <c r="B1570" t="str">
        <f t="shared" si="947"/>
        <v>SPS3</v>
      </c>
      <c r="C1570" t="str">
        <f t="shared" si="952"/>
        <v>CH</v>
      </c>
      <c r="D1570" t="s">
        <v>1560</v>
      </c>
      <c r="E1570" t="str">
        <f t="shared" si="954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2.394192107184542E-2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2.4749282161085944E-2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1.9872239133300218E-2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5.822030805083773E-4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1.0403204390738191E-3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9.5887296376749836E-4</v>
      </c>
    </row>
    <row r="1571" spans="2:11" x14ac:dyDescent="0.3">
      <c r="B1571" s="2" t="str">
        <f t="shared" si="947"/>
        <v>SPS3</v>
      </c>
      <c r="C1571" s="2" t="str">
        <f t="shared" si="952"/>
        <v>CH</v>
      </c>
      <c r="D1571" s="2" t="s">
        <v>1561</v>
      </c>
      <c r="E1571" s="2" t="s">
        <v>1518</v>
      </c>
      <c r="F1571" s="3">
        <f>SUM(F1572:F1580)</f>
        <v>4.7797638258453112</v>
      </c>
      <c r="G1571" s="3">
        <f t="shared" ref="G1571:K1571" si="965">SUM(G1572:G1580)</f>
        <v>4.7669771840558592</v>
      </c>
      <c r="H1571" s="3">
        <f t="shared" si="965"/>
        <v>4.704497361855843</v>
      </c>
      <c r="I1571" s="3">
        <f t="shared" si="965"/>
        <v>4.638564151969728</v>
      </c>
      <c r="J1571" s="3">
        <f t="shared" si="965"/>
        <v>5.000629628301942</v>
      </c>
      <c r="K1571" s="3">
        <f t="shared" si="965"/>
        <v>5.3976117468326184</v>
      </c>
    </row>
    <row r="1572" spans="2:11" x14ac:dyDescent="0.3">
      <c r="B1572" t="str">
        <f t="shared" si="947"/>
        <v>SPS3</v>
      </c>
      <c r="C1572" t="str">
        <f t="shared" si="952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2.7356461049024547E-2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2.3908723024932108E-2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1.8199919943489271E-2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9.3389440752856875E-3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3">
      <c r="B1573" t="str">
        <f t="shared" si="947"/>
        <v>SPS3</v>
      </c>
      <c r="C1573" t="str">
        <f t="shared" si="952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2.3216483052951164E-2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5.2544470974662957E-2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1.8985689381177347E-2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1.1762943925517575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3.8726298666188352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4.5061568474894242</v>
      </c>
    </row>
    <row r="1574" spans="2:11" x14ac:dyDescent="0.3">
      <c r="B1574" t="str">
        <f t="shared" si="947"/>
        <v>SPS3</v>
      </c>
      <c r="C1574" t="str">
        <f t="shared" si="952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1.9734717660842895E-4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2.3265334542933391E-4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0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9.7664970505615387E-4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2.0201766187971266E-2</v>
      </c>
    </row>
    <row r="1575" spans="2:11" x14ac:dyDescent="0.3">
      <c r="B1575" t="str">
        <f t="shared" si="947"/>
        <v>SPS3</v>
      </c>
      <c r="C1575" t="str">
        <f t="shared" si="952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0.23194801724113981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0.49176856601841168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0.15551250495184823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5.95342006476552E-6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3">
      <c r="B1576" t="str">
        <f t="shared" si="947"/>
        <v>SPS3</v>
      </c>
      <c r="C1576" t="str">
        <f t="shared" si="952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0.1285911084484716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0.20160711039150531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5.367275007715896E-3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1.7157971854759259E-4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2.2460583877441275E-4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2.3706177628199333E-4</v>
      </c>
    </row>
    <row r="1577" spans="2:11" x14ac:dyDescent="0.3">
      <c r="B1577" t="str">
        <f t="shared" si="947"/>
        <v>SPS3</v>
      </c>
      <c r="C1577" t="str">
        <f t="shared" si="952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2.855376152448398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1.9973134651791149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1.529031544835765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4.0481642892098041E-6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3">
      <c r="B1578" t="str">
        <f t="shared" si="947"/>
        <v>SPS3</v>
      </c>
      <c r="C1578" t="str">
        <f t="shared" si="952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1.5056003761112176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1.7937505203327051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5.6430499262900341E-3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1.2496450688764978E-4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2.4902391590977686E-4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2.4355078503143874E-4</v>
      </c>
    </row>
    <row r="1579" spans="2:11" x14ac:dyDescent="0.3">
      <c r="B1579" t="str">
        <f t="shared" si="947"/>
        <v>SPS3</v>
      </c>
      <c r="C1579" t="str">
        <f t="shared" si="952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0.19795293212649112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2.9651541431015169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3.4524376286582026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1.1262159794934601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0.87046512804538467</v>
      </c>
    </row>
    <row r="1580" spans="2:11" x14ac:dyDescent="0.3">
      <c r="B1580" t="str">
        <f t="shared" si="947"/>
        <v>SPS3</v>
      </c>
      <c r="C1580" t="str">
        <f t="shared" si="952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7.6752274941077857E-3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7.9340488314272387E-3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6.3705813626105225E-3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1.8664087469267283E-4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3.3350272990630294E-4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3.0739254852524961E-4</v>
      </c>
    </row>
    <row r="1581" spans="2:11" x14ac:dyDescent="0.3">
      <c r="B1581" s="2" t="str">
        <f t="shared" si="947"/>
        <v>SPS3</v>
      </c>
      <c r="C1581" s="2" t="str">
        <f t="shared" si="952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3">
      <c r="B1582" t="str">
        <f t="shared" si="947"/>
        <v>SPS3</v>
      </c>
      <c r="C1582" t="str">
        <f t="shared" si="952"/>
        <v>CH</v>
      </c>
      <c r="D1582" t="s">
        <v>1570</v>
      </c>
      <c r="E1582" t="s">
        <v>1577</v>
      </c>
      <c r="F1582" s="1">
        <f>IFERROR(F1572/F1546,"-")</f>
        <v>0.68922285337539635</v>
      </c>
      <c r="G1582" s="1">
        <f t="shared" ref="G1582:K1582" si="966">IFERROR(G1572/G1546,"-")</f>
        <v>0.69564643130450543</v>
      </c>
      <c r="H1582" s="1">
        <f t="shared" si="966"/>
        <v>0.70528179819817038</v>
      </c>
      <c r="I1582" s="1">
        <f t="shared" si="966"/>
        <v>0.70528179819816994</v>
      </c>
      <c r="J1582" s="1" t="str">
        <f t="shared" si="966"/>
        <v>-</v>
      </c>
      <c r="K1582" s="1" t="str">
        <f t="shared" si="966"/>
        <v>-</v>
      </c>
    </row>
    <row r="1583" spans="2:11" x14ac:dyDescent="0.3">
      <c r="B1583" t="str">
        <f t="shared" si="947"/>
        <v>SPS3</v>
      </c>
      <c r="C1583" t="str">
        <f t="shared" si="952"/>
        <v>CH</v>
      </c>
      <c r="D1583" t="s">
        <v>1571</v>
      </c>
      <c r="E1583" t="s">
        <v>1577</v>
      </c>
      <c r="F1583" s="1">
        <f>IFERROR(F1573/F1547,"-")</f>
        <v>0.68135756995377272</v>
      </c>
      <c r="G1583" s="1">
        <f t="shared" ref="G1583:K1583" si="967">IFERROR(G1573/G1547,"-")</f>
        <v>0.68135756995377339</v>
      </c>
      <c r="H1583" s="1">
        <f t="shared" si="967"/>
        <v>0.68135756995377117</v>
      </c>
      <c r="I1583" s="1">
        <f t="shared" si="967"/>
        <v>0.68135756995377306</v>
      </c>
      <c r="J1583" s="1">
        <f t="shared" si="967"/>
        <v>0.68135756995377339</v>
      </c>
      <c r="K1583" s="1">
        <f t="shared" si="967"/>
        <v>0.68135756995377295</v>
      </c>
    </row>
    <row r="1584" spans="2:11" x14ac:dyDescent="0.3">
      <c r="B1584" t="str">
        <f t="shared" si="947"/>
        <v>SPS3</v>
      </c>
      <c r="C1584" t="str">
        <f t="shared" si="952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968">IFERROR(G1574/G1549,"-")</f>
        <v>0.46510343171505403</v>
      </c>
      <c r="H1584" s="1">
        <f t="shared" si="968"/>
        <v>0.47267493567326391</v>
      </c>
      <c r="I1584" s="1" t="str">
        <f t="shared" si="968"/>
        <v>-</v>
      </c>
      <c r="J1584" s="1">
        <f t="shared" si="968"/>
        <v>0.56191695799869079</v>
      </c>
      <c r="K1584" s="1">
        <f t="shared" si="968"/>
        <v>0.60420037329494081</v>
      </c>
    </row>
    <row r="1585" spans="2:11" x14ac:dyDescent="0.3">
      <c r="B1585" t="str">
        <f t="shared" si="947"/>
        <v>SPS3</v>
      </c>
      <c r="C1585" t="str">
        <f t="shared" si="952"/>
        <v>CH</v>
      </c>
      <c r="D1585" t="s">
        <v>1592</v>
      </c>
      <c r="E1585" t="s">
        <v>1577</v>
      </c>
      <c r="F1585" s="1">
        <f>IFERROR(F1575/F1555,"-")</f>
        <v>0.27758325613681001</v>
      </c>
      <c r="G1585" s="1">
        <f t="shared" ref="G1585:K1585" si="969">IFERROR(G1575/G1555,"-")</f>
        <v>0.28017034051580086</v>
      </c>
      <c r="H1585" s="1">
        <f t="shared" si="969"/>
        <v>0.28405096708428706</v>
      </c>
      <c r="I1585" s="1">
        <f t="shared" si="969"/>
        <v>0.28405096708428701</v>
      </c>
      <c r="J1585" s="1" t="str">
        <f t="shared" si="969"/>
        <v>-</v>
      </c>
      <c r="K1585" s="1" t="str">
        <f t="shared" si="969"/>
        <v>-</v>
      </c>
    </row>
    <row r="1586" spans="2:11" x14ac:dyDescent="0.3">
      <c r="B1586" t="str">
        <f t="shared" si="947"/>
        <v>SPS3</v>
      </c>
      <c r="C1586" t="str">
        <f t="shared" si="952"/>
        <v>CH</v>
      </c>
      <c r="D1586" t="s">
        <v>1593</v>
      </c>
      <c r="E1586" t="s">
        <v>1577</v>
      </c>
      <c r="F1586" s="1">
        <f>IFERROR(F1576/F1556,"-")</f>
        <v>0.35122961215622167</v>
      </c>
      <c r="G1586" s="1">
        <f t="shared" ref="G1586:K1586" si="970">IFERROR(G1576/G1556,"-")</f>
        <v>0.35122961215622145</v>
      </c>
      <c r="H1586" s="1">
        <f t="shared" si="970"/>
        <v>0.35122961215621995</v>
      </c>
      <c r="I1586" s="1">
        <f t="shared" si="970"/>
        <v>0.35122961215622095</v>
      </c>
      <c r="J1586" s="1">
        <f t="shared" si="970"/>
        <v>0.35122961215622112</v>
      </c>
      <c r="K1586" s="1">
        <f t="shared" si="970"/>
        <v>0.35122961215622112</v>
      </c>
    </row>
    <row r="1587" spans="2:11" x14ac:dyDescent="0.3">
      <c r="B1587" t="str">
        <f t="shared" si="947"/>
        <v>SPS3</v>
      </c>
      <c r="C1587" t="str">
        <f t="shared" si="952"/>
        <v>CH</v>
      </c>
      <c r="D1587" t="s">
        <v>1573</v>
      </c>
      <c r="E1587" t="s">
        <v>1577</v>
      </c>
      <c r="F1587" s="1">
        <f>IFERROR(F1577/F1562,"-")</f>
        <v>0.25903663625928702</v>
      </c>
      <c r="G1587" s="1">
        <f t="shared" ref="G1587:K1587" si="971">IFERROR(G1577/G1562,"-")</f>
        <v>0.26793746277611225</v>
      </c>
      <c r="H1587" s="1">
        <f t="shared" si="971"/>
        <v>0.28128870255134997</v>
      </c>
      <c r="I1587" s="1">
        <f t="shared" si="971"/>
        <v>0.28128870255135002</v>
      </c>
      <c r="J1587" s="1" t="str">
        <f t="shared" si="971"/>
        <v>-</v>
      </c>
      <c r="K1587" s="1" t="str">
        <f t="shared" si="971"/>
        <v>-</v>
      </c>
    </row>
    <row r="1588" spans="2:11" x14ac:dyDescent="0.3">
      <c r="B1588" t="str">
        <f t="shared" ref="B1588:B1651" si="972">B1587</f>
        <v>SPS3</v>
      </c>
      <c r="C1588" t="str">
        <f t="shared" si="952"/>
        <v>CH</v>
      </c>
      <c r="D1588" t="s">
        <v>1574</v>
      </c>
      <c r="E1588" t="s">
        <v>1577</v>
      </c>
      <c r="F1588" s="1">
        <f>IFERROR(F1578/F1563,"-")</f>
        <v>0.34211451343153176</v>
      </c>
      <c r="G1588" s="1">
        <f t="shared" ref="G1588:K1588" si="973">IFERROR(G1578/G1563,"-")</f>
        <v>0.3421145134315326</v>
      </c>
      <c r="H1588" s="1">
        <f t="shared" si="973"/>
        <v>0.34211451343153199</v>
      </c>
      <c r="I1588" s="1">
        <f t="shared" si="973"/>
        <v>0.34211451343153215</v>
      </c>
      <c r="J1588" s="1">
        <f t="shared" si="973"/>
        <v>0.34211451343153204</v>
      </c>
      <c r="K1588" s="1">
        <f t="shared" si="973"/>
        <v>0.34211451343153215</v>
      </c>
    </row>
    <row r="1589" spans="2:11" x14ac:dyDescent="0.3">
      <c r="B1589" t="str">
        <f t="shared" si="972"/>
        <v>SPS3</v>
      </c>
      <c r="C1589" t="str">
        <f t="shared" si="952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974">IFERROR(G1579/G1564,"-")</f>
        <v>0.46076759264650813</v>
      </c>
      <c r="H1589" s="1">
        <f t="shared" si="974"/>
        <v>0.46076759264650796</v>
      </c>
      <c r="I1589" s="1">
        <f t="shared" si="974"/>
        <v>0.46076759264650746</v>
      </c>
      <c r="J1589" s="1">
        <f t="shared" si="974"/>
        <v>0.46076759264650829</v>
      </c>
      <c r="K1589" s="1">
        <f t="shared" si="974"/>
        <v>0.46076759264650824</v>
      </c>
    </row>
    <row r="1590" spans="2:11" x14ac:dyDescent="0.3">
      <c r="B1590" t="str">
        <f t="shared" si="972"/>
        <v>SPS3</v>
      </c>
      <c r="C1590" t="str">
        <f t="shared" si="952"/>
        <v>CH</v>
      </c>
      <c r="D1590" t="s">
        <v>1576</v>
      </c>
      <c r="E1590" t="s">
        <v>1577</v>
      </c>
      <c r="F1590" s="1">
        <f>IFERROR(F1580/F1570,"-")</f>
        <v>0.32057692743517957</v>
      </c>
      <c r="G1590" s="1">
        <f t="shared" ref="G1590:K1590" si="975">IFERROR(G1580/G1570,"-")</f>
        <v>0.32057692743517979</v>
      </c>
      <c r="H1590" s="1">
        <f t="shared" si="975"/>
        <v>0.32057692743517974</v>
      </c>
      <c r="I1590" s="1">
        <f t="shared" si="975"/>
        <v>0.32057692743518085</v>
      </c>
      <c r="J1590" s="1">
        <f t="shared" si="975"/>
        <v>0.32057692743518063</v>
      </c>
      <c r="K1590" s="1">
        <f t="shared" si="975"/>
        <v>0.32057692743518029</v>
      </c>
    </row>
    <row r="1591" spans="2:11" x14ac:dyDescent="0.3">
      <c r="B1591" s="2" t="str">
        <f t="shared" si="972"/>
        <v>SPS3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24.507980682734726</v>
      </c>
      <c r="G1591" s="3">
        <f t="shared" ref="G1591" si="976">G1592+G1595+G1597+G1604+G1612</f>
        <v>23.021960673501702</v>
      </c>
      <c r="H1591" s="3">
        <f t="shared" ref="H1591" si="977">H1592+H1595+H1597+H1604+H1612</f>
        <v>20.450454766765834</v>
      </c>
      <c r="I1591" s="3">
        <f t="shared" ref="I1591" si="978">I1592+I1595+I1597+I1604+I1612</f>
        <v>13.950454602194808</v>
      </c>
      <c r="J1591" s="3">
        <f t="shared" ref="J1591" si="979">J1592+J1595+J1597+J1604+J1612</f>
        <v>15.35063052993481</v>
      </c>
      <c r="K1591" s="3">
        <f t="shared" ref="K1591" si="980">K1592+K1595+K1597+K1604+K1612</f>
        <v>8.5933649931638065</v>
      </c>
    </row>
    <row r="1592" spans="2:11" x14ac:dyDescent="0.3">
      <c r="B1592" t="str">
        <f t="shared" si="972"/>
        <v>SPS3</v>
      </c>
      <c r="C1592" t="str">
        <f t="shared" ref="C1592:C1637" si="981">C1591</f>
        <v>CH</v>
      </c>
      <c r="D1592" t="s">
        <v>1598</v>
      </c>
      <c r="E1592" t="str">
        <f>E1591</f>
        <v>PJ/yr.</v>
      </c>
      <c r="F1592" s="1">
        <f>SUM(F1593:F1594)</f>
        <v>9.5294918209072443E-3</v>
      </c>
      <c r="G1592" s="1">
        <f t="shared" ref="G1592" si="982">SUM(G1593:G1594)</f>
        <v>2.5222140320135023E-2</v>
      </c>
      <c r="H1592" s="1">
        <f t="shared" ref="H1592" si="983">SUM(H1593:H1594)</f>
        <v>2.8971472197989807E-2</v>
      </c>
      <c r="I1592" s="1">
        <f t="shared" ref="I1592" si="984">SUM(I1593:I1594)</f>
        <v>0.20131302981281565</v>
      </c>
      <c r="J1592" s="1">
        <f t="shared" ref="J1592" si="985">SUM(J1593:J1594)</f>
        <v>2.7651972571422503E-2</v>
      </c>
      <c r="K1592" s="1">
        <f t="shared" ref="K1592" si="986">SUM(K1593:K1594)</f>
        <v>7.3907549892765561</v>
      </c>
    </row>
    <row r="1593" spans="2:11" x14ac:dyDescent="0.3">
      <c r="B1593" t="str">
        <f t="shared" si="972"/>
        <v>SPS3</v>
      </c>
      <c r="C1593" t="str">
        <f t="shared" si="981"/>
        <v>CH</v>
      </c>
      <c r="D1593" t="s">
        <v>1599</v>
      </c>
      <c r="E1593" t="str">
        <f t="shared" ref="E1593:E1617" si="987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3">
      <c r="B1594" t="str">
        <f t="shared" si="972"/>
        <v>SPS3</v>
      </c>
      <c r="C1594" t="str">
        <f t="shared" si="981"/>
        <v>CH</v>
      </c>
      <c r="D1594" t="s">
        <v>1600</v>
      </c>
      <c r="E1594" t="str">
        <f t="shared" si="987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9.5294918209072443E-3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2.5222140320135023E-2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2.8971472197989807E-2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0.20131302981281565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2.7651972571422503E-2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7.3907549892765561</v>
      </c>
    </row>
    <row r="1595" spans="2:11" x14ac:dyDescent="0.3">
      <c r="B1595" t="str">
        <f t="shared" si="972"/>
        <v>SPS3</v>
      </c>
      <c r="C1595" t="str">
        <f t="shared" si="981"/>
        <v>CH</v>
      </c>
      <c r="D1595" t="s">
        <v>1601</v>
      </c>
      <c r="E1595" t="str">
        <f t="shared" si="987"/>
        <v>PJ/yr.</v>
      </c>
      <c r="F1595" s="1">
        <f>F1596</f>
        <v>2.794280140218733E-3</v>
      </c>
      <c r="G1595" s="1">
        <f t="shared" ref="G1595" si="988">G1596</f>
        <v>1.4843430723505274E-3</v>
      </c>
      <c r="H1595" s="1">
        <f t="shared" ref="H1595" si="989">H1596</f>
        <v>6.8217897034630512E-4</v>
      </c>
      <c r="I1595" s="1">
        <f t="shared" ref="I1595" si="990">I1596</f>
        <v>0</v>
      </c>
      <c r="J1595" s="1">
        <f t="shared" ref="J1595" si="991">J1596</f>
        <v>3.3387450066331898E-3</v>
      </c>
      <c r="K1595" s="1">
        <f t="shared" ref="K1595" si="992">K1596</f>
        <v>3.3225437316752142E-2</v>
      </c>
    </row>
    <row r="1596" spans="2:11" x14ac:dyDescent="0.3">
      <c r="B1596" t="str">
        <f t="shared" si="972"/>
        <v>SPS3</v>
      </c>
      <c r="C1596" t="str">
        <f t="shared" si="981"/>
        <v>CH</v>
      </c>
      <c r="D1596" t="s">
        <v>1602</v>
      </c>
      <c r="E1596" t="str">
        <f t="shared" si="987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2.794280140218733E-3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1.4843430723505274E-3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6.8217897034630512E-4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0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3.3387450066331898E-3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3.3225437316752142E-2</v>
      </c>
    </row>
    <row r="1597" spans="2:11" x14ac:dyDescent="0.3">
      <c r="B1597" t="str">
        <f t="shared" si="972"/>
        <v>SPS3</v>
      </c>
      <c r="C1597" t="str">
        <f t="shared" si="981"/>
        <v>CH</v>
      </c>
      <c r="D1597" t="s">
        <v>1603</v>
      </c>
      <c r="E1597" t="str">
        <f t="shared" si="987"/>
        <v>PJ/yr.</v>
      </c>
      <c r="F1597" s="1">
        <f>SUM(F1602:F1603)</f>
        <v>0</v>
      </c>
      <c r="G1597" s="1">
        <f t="shared" ref="G1597:K1597" si="993">SUM(G1602:G1603)</f>
        <v>0</v>
      </c>
      <c r="H1597" s="1">
        <f t="shared" si="993"/>
        <v>0</v>
      </c>
      <c r="I1597" s="1">
        <f t="shared" si="993"/>
        <v>0</v>
      </c>
      <c r="J1597" s="1">
        <f t="shared" si="993"/>
        <v>0</v>
      </c>
      <c r="K1597" s="1">
        <f t="shared" si="993"/>
        <v>0</v>
      </c>
    </row>
    <row r="1598" spans="2:11" x14ac:dyDescent="0.3">
      <c r="B1598" t="str">
        <f t="shared" si="972"/>
        <v>SPS3</v>
      </c>
      <c r="C1598" t="str">
        <f t="shared" si="981"/>
        <v>CH</v>
      </c>
      <c r="D1598" t="s">
        <v>1604</v>
      </c>
      <c r="E1598" t="str">
        <f t="shared" si="987"/>
        <v>PJ/yr.</v>
      </c>
      <c r="F1598" s="1">
        <f>F1597-F1599</f>
        <v>0</v>
      </c>
      <c r="G1598" s="1">
        <f t="shared" ref="G1598:K1598" si="994">G1597-G1599</f>
        <v>0</v>
      </c>
      <c r="H1598" s="1">
        <f t="shared" si="994"/>
        <v>0</v>
      </c>
      <c r="I1598" s="1">
        <f t="shared" si="994"/>
        <v>0</v>
      </c>
      <c r="J1598" s="1">
        <f t="shared" si="994"/>
        <v>0</v>
      </c>
      <c r="K1598" s="1">
        <f t="shared" si="994"/>
        <v>0</v>
      </c>
    </row>
    <row r="1599" spans="2:11" x14ac:dyDescent="0.3">
      <c r="B1599" t="str">
        <f t="shared" si="972"/>
        <v>SPS3</v>
      </c>
      <c r="C1599" t="str">
        <f t="shared" si="981"/>
        <v>CH</v>
      </c>
      <c r="D1599" t="s">
        <v>1605</v>
      </c>
      <c r="E1599" t="str">
        <f t="shared" si="987"/>
        <v>PJ/yr.</v>
      </c>
      <c r="F1599" s="1">
        <f>SUM(F1600:F1601)</f>
        <v>0</v>
      </c>
      <c r="G1599" s="1">
        <f t="shared" ref="G1599:K1599" si="995">SUM(G1600:G1601)</f>
        <v>0</v>
      </c>
      <c r="H1599" s="1">
        <f t="shared" si="995"/>
        <v>0</v>
      </c>
      <c r="I1599" s="1">
        <f t="shared" si="995"/>
        <v>0</v>
      </c>
      <c r="J1599" s="1">
        <f t="shared" si="995"/>
        <v>0</v>
      </c>
      <c r="K1599" s="1">
        <f t="shared" si="995"/>
        <v>0</v>
      </c>
    </row>
    <row r="1600" spans="2:11" x14ac:dyDescent="0.3">
      <c r="B1600" t="str">
        <f t="shared" si="972"/>
        <v>SPS3</v>
      </c>
      <c r="C1600" t="str">
        <f t="shared" si="981"/>
        <v>CH</v>
      </c>
      <c r="D1600" t="s">
        <v>1606</v>
      </c>
      <c r="E1600" t="str">
        <f t="shared" si="987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3">
      <c r="B1601" t="str">
        <f t="shared" si="972"/>
        <v>SPS3</v>
      </c>
      <c r="C1601" t="str">
        <f t="shared" si="981"/>
        <v>CH</v>
      </c>
      <c r="D1601" t="s">
        <v>1607</v>
      </c>
      <c r="E1601" t="str">
        <f t="shared" si="987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3">
      <c r="B1602" t="str">
        <f t="shared" si="972"/>
        <v>SPS3</v>
      </c>
      <c r="C1602" t="str">
        <f t="shared" si="981"/>
        <v>CH</v>
      </c>
      <c r="D1602" t="s">
        <v>1608</v>
      </c>
      <c r="E1602" t="str">
        <f t="shared" si="987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3">
      <c r="B1603" t="str">
        <f t="shared" si="972"/>
        <v>SPS3</v>
      </c>
      <c r="C1603" t="str">
        <f t="shared" si="981"/>
        <v>CH</v>
      </c>
      <c r="D1603" t="s">
        <v>1609</v>
      </c>
      <c r="E1603" t="str">
        <f t="shared" si="987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3">
      <c r="B1604" t="str">
        <f t="shared" si="972"/>
        <v>SPS3</v>
      </c>
      <c r="C1604" t="str">
        <f t="shared" si="981"/>
        <v>CH</v>
      </c>
      <c r="D1604" t="s">
        <v>1610</v>
      </c>
      <c r="E1604" t="str">
        <f t="shared" si="987"/>
        <v>PJ/yr.</v>
      </c>
      <c r="F1604" s="1">
        <f>SUM(F1609:F1611)</f>
        <v>24.437129172148531</v>
      </c>
      <c r="G1604" s="1">
        <f t="shared" ref="G1604:K1604" si="996">SUM(G1609:G1611)</f>
        <v>22.983569297954205</v>
      </c>
      <c r="H1604" s="1">
        <f t="shared" si="996"/>
        <v>20.40818796044919</v>
      </c>
      <c r="I1604" s="1">
        <f t="shared" si="996"/>
        <v>13.74804142259163</v>
      </c>
      <c r="J1604" s="1">
        <f t="shared" si="996"/>
        <v>15.318329534226335</v>
      </c>
      <c r="K1604" s="1">
        <f t="shared" si="996"/>
        <v>1.1682121355317114</v>
      </c>
    </row>
    <row r="1605" spans="2:11" x14ac:dyDescent="0.3">
      <c r="B1605" t="str">
        <f t="shared" si="972"/>
        <v>SPS3</v>
      </c>
      <c r="C1605" t="str">
        <f t="shared" si="981"/>
        <v>CH</v>
      </c>
      <c r="D1605" t="s">
        <v>1611</v>
      </c>
      <c r="E1605" t="str">
        <f t="shared" si="987"/>
        <v>PJ/yr.</v>
      </c>
      <c r="F1605" s="1">
        <f>F1604-F1606</f>
        <v>23.843024773621057</v>
      </c>
      <c r="G1605" s="1">
        <f t="shared" ref="G1605:K1605" si="997">G1604-G1606</f>
        <v>22.374887904734912</v>
      </c>
      <c r="H1605" s="1">
        <f t="shared" si="997"/>
        <v>19.725647633988274</v>
      </c>
      <c r="I1605" s="1">
        <f t="shared" si="997"/>
        <v>12.980270477481788</v>
      </c>
      <c r="J1605" s="1">
        <f t="shared" si="997"/>
        <v>13.995939299790582</v>
      </c>
      <c r="K1605" s="1">
        <f t="shared" si="997"/>
        <v>-0.18922283573549437</v>
      </c>
    </row>
    <row r="1606" spans="2:11" x14ac:dyDescent="0.3">
      <c r="B1606" t="str">
        <f t="shared" si="972"/>
        <v>SPS3</v>
      </c>
      <c r="C1606" t="str">
        <f t="shared" si="981"/>
        <v>CH</v>
      </c>
      <c r="D1606" t="s">
        <v>1612</v>
      </c>
      <c r="E1606" t="str">
        <f t="shared" si="987"/>
        <v>PJ/yr.</v>
      </c>
      <c r="F1606" s="1">
        <f>SUM(F1607:F1608)</f>
        <v>0.59410439852747343</v>
      </c>
      <c r="G1606" s="1">
        <f t="shared" ref="G1606:K1606" si="998">SUM(G1607:G1608)</f>
        <v>0.60868139321929071</v>
      </c>
      <c r="H1606" s="1">
        <f t="shared" si="998"/>
        <v>0.68254032646091789</v>
      </c>
      <c r="I1606" s="1">
        <f t="shared" si="998"/>
        <v>0.76777094510984167</v>
      </c>
      <c r="J1606" s="1">
        <f t="shared" si="998"/>
        <v>1.3223902344357528</v>
      </c>
      <c r="K1606" s="1">
        <f t="shared" si="998"/>
        <v>1.3574349712672058</v>
      </c>
    </row>
    <row r="1607" spans="2:11" x14ac:dyDescent="0.3">
      <c r="B1607" t="str">
        <f t="shared" si="972"/>
        <v>SPS3</v>
      </c>
      <c r="C1607" t="str">
        <f t="shared" si="981"/>
        <v>CH</v>
      </c>
      <c r="D1607" t="s">
        <v>1613</v>
      </c>
      <c r="E1607" t="str">
        <f t="shared" si="987"/>
        <v>PJ/yr.</v>
      </c>
      <c r="F1607" s="1">
        <f>[1]Transport!B$26/SUM([1]Transport!B$22,[1]Transport!B$26)*F1604*(F$33+F$580)/(F$33+F$580+F$36)</f>
        <v>0.59410439852747343</v>
      </c>
      <c r="G1607" s="1">
        <f>[1]Transport!C$26/SUM([1]Transport!C$22,[1]Transport!C$26)*G1604*(G$33+G$580)/(G$33+G$580+G$36)</f>
        <v>0.60868139321929071</v>
      </c>
      <c r="H1607" s="1">
        <f>[1]Transport!D$26/SUM([1]Transport!D$22,[1]Transport!D$26)*H1604*(H$33+H$580)/(H$33+H$580+H$36)</f>
        <v>0.68254032646091789</v>
      </c>
      <c r="I1607" s="1">
        <f>[1]Transport!E$26/SUM([1]Transport!E$22,[1]Transport!E$26)*I1604*(I$33+I$580)/(I$33+I$580+I$36)</f>
        <v>0.76777094510984167</v>
      </c>
      <c r="J1607" s="1">
        <f>[1]Transport!F$26/SUM([1]Transport!F$22,[1]Transport!F$26)*J1604*(J$33+J$580)/(J$33+J$580+J$36)</f>
        <v>0.92354713168842761</v>
      </c>
      <c r="K1607" s="1">
        <f>[1]Transport!G$26/SUM([1]Transport!G$22,[1]Transport!G$26)*K1604*(K$33+K$580)/(K$33+K$580+K$36)</f>
        <v>0.21041468310770528</v>
      </c>
    </row>
    <row r="1608" spans="2:11" x14ac:dyDescent="0.3">
      <c r="B1608" t="str">
        <f t="shared" si="972"/>
        <v>SPS3</v>
      </c>
      <c r="C1608" t="str">
        <f t="shared" si="981"/>
        <v>CH</v>
      </c>
      <c r="D1608" t="s">
        <v>1614</v>
      </c>
      <c r="E1608" t="str">
        <f t="shared" si="987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0.3988431027473251</v>
      </c>
      <c r="K1608" s="1">
        <f>(K$36+K$716)/([1]Transport!G$22+[1]Transport!G$26)*K1604</f>
        <v>1.1470202881595006</v>
      </c>
    </row>
    <row r="1609" spans="2:11" x14ac:dyDescent="0.3">
      <c r="B1609" t="str">
        <f t="shared" si="972"/>
        <v>SPS3</v>
      </c>
      <c r="C1609" t="str">
        <f t="shared" si="981"/>
        <v>CH</v>
      </c>
      <c r="D1609" t="s">
        <v>1615</v>
      </c>
      <c r="E1609" t="str">
        <f t="shared" si="987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19.22085688603244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15.933462191990317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11.472658687796155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0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3">
      <c r="B1610" t="str">
        <f t="shared" si="972"/>
        <v>SPS3</v>
      </c>
      <c r="C1610" t="str">
        <f t="shared" si="981"/>
        <v>CH</v>
      </c>
      <c r="D1610" t="s">
        <v>1616</v>
      </c>
      <c r="E1610" t="str">
        <f t="shared" si="987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5.2162722861160908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6.1255374314053848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4.7792725005008903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4.3452441574400787E-5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8.1169390021166472E-3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2.6778181113091813E-3</v>
      </c>
    </row>
    <row r="1611" spans="2:11" x14ac:dyDescent="0.3">
      <c r="B1611" t="str">
        <f t="shared" si="972"/>
        <v>SPS3</v>
      </c>
      <c r="C1611" t="str">
        <f t="shared" si="981"/>
        <v>CH</v>
      </c>
      <c r="D1611" t="s">
        <v>1617</v>
      </c>
      <c r="E1611" t="str">
        <f t="shared" si="987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0.92456967455850159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4.156256772152144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13.747997970150056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15.310212595224218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1.1655343174204023</v>
      </c>
    </row>
    <row r="1612" spans="2:11" x14ac:dyDescent="0.3">
      <c r="B1612" t="str">
        <f t="shared" si="972"/>
        <v>SPS3</v>
      </c>
      <c r="C1612" t="str">
        <f t="shared" si="981"/>
        <v>CH</v>
      </c>
      <c r="D1612" t="s">
        <v>1618</v>
      </c>
      <c r="E1612" t="str">
        <f t="shared" si="987"/>
        <v>PJ/yr.</v>
      </c>
      <c r="F1612" s="1">
        <f>F1617</f>
        <v>5.8527738625070304E-2</v>
      </c>
      <c r="G1612" s="1">
        <f t="shared" ref="G1612:K1612" si="999">G1617</f>
        <v>1.168489215501544E-2</v>
      </c>
      <c r="H1612" s="1">
        <f t="shared" si="999"/>
        <v>1.2613155148309211E-2</v>
      </c>
      <c r="I1612" s="1">
        <f t="shared" si="999"/>
        <v>1.1001497903616673E-3</v>
      </c>
      <c r="J1612" s="1">
        <f t="shared" si="999"/>
        <v>1.3102781304195953E-3</v>
      </c>
      <c r="K1612" s="1">
        <f t="shared" si="999"/>
        <v>1.1724310387873425E-3</v>
      </c>
    </row>
    <row r="1613" spans="2:11" x14ac:dyDescent="0.3">
      <c r="B1613" t="str">
        <f t="shared" si="972"/>
        <v>SPS3</v>
      </c>
      <c r="C1613" t="str">
        <f t="shared" si="981"/>
        <v>CH</v>
      </c>
      <c r="D1613" t="s">
        <v>1619</v>
      </c>
      <c r="E1613" t="str">
        <f t="shared" si="987"/>
        <v>PJ/yr.</v>
      </c>
      <c r="F1613" s="1">
        <f>F1612-F1614</f>
        <v>5.366710933091786E-2</v>
      </c>
      <c r="G1613" s="1">
        <f t="shared" ref="G1613:K1613" si="1000">G1612-G1614</f>
        <v>1.0598771340162173E-2</v>
      </c>
      <c r="H1613" s="1">
        <f t="shared" si="1000"/>
        <v>1.1488464805364444E-2</v>
      </c>
      <c r="I1613" s="1">
        <f t="shared" si="1000"/>
        <v>9.0942994563159778E-4</v>
      </c>
      <c r="J1613" s="1">
        <f t="shared" si="1000"/>
        <v>-6.593945503462954E-3</v>
      </c>
      <c r="K1613" s="1">
        <f t="shared" si="1000"/>
        <v>-0.27488511178714053</v>
      </c>
    </row>
    <row r="1614" spans="2:11" x14ac:dyDescent="0.3">
      <c r="B1614" t="str">
        <f t="shared" si="972"/>
        <v>SPS3</v>
      </c>
      <c r="C1614" t="str">
        <f t="shared" si="981"/>
        <v>CH</v>
      </c>
      <c r="D1614" t="s">
        <v>1620</v>
      </c>
      <c r="E1614" t="str">
        <f t="shared" si="987"/>
        <v>PJ/yr.</v>
      </c>
      <c r="F1614" s="1">
        <f>SUM(F1615:F1616)</f>
        <v>4.8606292941524446E-3</v>
      </c>
      <c r="G1614" s="1">
        <f t="shared" ref="G1614:K1614" si="1001">SUM(G1615:G1616)</f>
        <v>1.0861208148532683E-3</v>
      </c>
      <c r="H1614" s="1">
        <f t="shared" si="1001"/>
        <v>1.1246903429447674E-3</v>
      </c>
      <c r="I1614" s="1">
        <f t="shared" si="1001"/>
        <v>1.907198447300695E-4</v>
      </c>
      <c r="J1614" s="1">
        <f t="shared" si="1001"/>
        <v>7.904223633882549E-3</v>
      </c>
      <c r="K1614" s="1">
        <f t="shared" si="1001"/>
        <v>0.27605754282592787</v>
      </c>
    </row>
    <row r="1615" spans="2:11" x14ac:dyDescent="0.3">
      <c r="B1615" t="str">
        <f t="shared" si="972"/>
        <v>SPS3</v>
      </c>
      <c r="C1615" t="str">
        <f t="shared" si="981"/>
        <v>CH</v>
      </c>
      <c r="D1615" t="s">
        <v>1621</v>
      </c>
      <c r="E1615" t="str">
        <f t="shared" si="987"/>
        <v>PJ/yr.</v>
      </c>
      <c r="F1615" s="1">
        <f>[1]Transport!B$27/SUM([1]Transport!B$24,[1]Transport!B$27)*F1612*(F$45+F$612)/(F$45+F$612+F$47)</f>
        <v>4.8606292941524446E-3</v>
      </c>
      <c r="G1615" s="1">
        <f>[1]Transport!C$27/SUM([1]Transport!C$24,[1]Transport!C$27)*G1612*(G$45+G$612)/(G$45+G$612+G$47)</f>
        <v>1.0861208148532683E-3</v>
      </c>
      <c r="H1615" s="1">
        <f>[1]Transport!D$27/SUM([1]Transport!D$24,[1]Transport!D$27)*H1612*(H$45+H$612)/(H$45+H$612+H$47)</f>
        <v>1.1246903429447674E-3</v>
      </c>
      <c r="I1615" s="1">
        <f>[1]Transport!E$27/SUM([1]Transport!E$24,[1]Transport!E$27)*I1612*(I$45+I$612)/(I$45+I$612+I$47)</f>
        <v>1.907198447300695E-4</v>
      </c>
      <c r="J1615" s="1">
        <f>[1]Transport!F$27/SUM([1]Transport!F$24,[1]Transport!F$27)*J1612*(J$45+J$612)/(J$45+J$612+J$47)</f>
        <v>3.3522995276570323E-4</v>
      </c>
      <c r="K1615" s="1">
        <f>[1]Transport!G$27/SUM([1]Transport!G$24,[1]Transport!G$27)*K1612*(K$45+K$612)/(K$45+K$612+K$47)</f>
        <v>2.8707327590448041E-4</v>
      </c>
    </row>
    <row r="1616" spans="2:11" x14ac:dyDescent="0.3">
      <c r="B1616" t="str">
        <f t="shared" si="972"/>
        <v>SPS3</v>
      </c>
      <c r="C1616" t="str">
        <f t="shared" si="981"/>
        <v>CH</v>
      </c>
      <c r="D1616" t="s">
        <v>1622</v>
      </c>
      <c r="E1616" t="str">
        <f t="shared" si="987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7.5689936811168456E-3</v>
      </c>
      <c r="K1616" s="1">
        <f>(K$47+K$714)/([1]Transport!G$24+[1]Transport!G$27)*K1612</f>
        <v>0.27577046955002338</v>
      </c>
    </row>
    <row r="1617" spans="2:11" x14ac:dyDescent="0.3">
      <c r="B1617" t="str">
        <f t="shared" si="972"/>
        <v>SPS3</v>
      </c>
      <c r="C1617" t="str">
        <f t="shared" si="981"/>
        <v>CH</v>
      </c>
      <c r="D1617" t="s">
        <v>1623</v>
      </c>
      <c r="E1617" t="str">
        <f t="shared" si="987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5.8527738625070304E-2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1.168489215501544E-2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1.2613155148309211E-2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1.1001497903616673E-3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1.3102781304195953E-3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1.1724310387873425E-3</v>
      </c>
    </row>
    <row r="1618" spans="2:11" x14ac:dyDescent="0.3">
      <c r="B1618" s="2" t="str">
        <f t="shared" si="972"/>
        <v>SPS3</v>
      </c>
      <c r="C1618" s="2" t="str">
        <f t="shared" si="981"/>
        <v>CH</v>
      </c>
      <c r="D1618" s="2" t="s">
        <v>1624</v>
      </c>
      <c r="E1618" s="2" t="s">
        <v>1518</v>
      </c>
      <c r="F1618" s="3">
        <f>SUM(F1619:F1627)</f>
        <v>2.2034992340906596</v>
      </c>
      <c r="G1618" s="3">
        <f t="shared" ref="G1618" si="1002">SUM(G1619:G1627)</f>
        <v>2.2249030790793145</v>
      </c>
      <c r="H1618" s="3">
        <f t="shared" ref="H1618" si="1003">SUM(H1619:H1627)</f>
        <v>2.2548701319527078</v>
      </c>
      <c r="I1618" s="3">
        <f t="shared" ref="I1618" si="1004">SUM(I1619:I1627)</f>
        <v>2.3062195455412886</v>
      </c>
      <c r="J1618" s="3">
        <f t="shared" ref="J1618" si="1005">SUM(J1619:J1627)</f>
        <v>2.5131758540760827</v>
      </c>
      <c r="K1618" s="3">
        <f t="shared" ref="K1618" si="1006">SUM(K1619:K1627)</f>
        <v>2.7067201340544251</v>
      </c>
    </row>
    <row r="1619" spans="2:11" x14ac:dyDescent="0.3">
      <c r="B1619" t="str">
        <f t="shared" si="972"/>
        <v>SPS3</v>
      </c>
      <c r="C1619" t="str">
        <f t="shared" si="981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3">
      <c r="B1620" t="str">
        <f t="shared" si="972"/>
        <v>SPS3</v>
      </c>
      <c r="C1620" t="str">
        <f t="shared" si="981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2.5608390306649559E-3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6.823303456054362E-3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7.9005992502670947E-3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5.8750951122465901E-2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8.6693852228664874E-3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2.5084611258653271</v>
      </c>
    </row>
    <row r="1621" spans="2:11" x14ac:dyDescent="0.3">
      <c r="B1621" t="str">
        <f t="shared" si="972"/>
        <v>SPS3</v>
      </c>
      <c r="C1621" t="str">
        <f t="shared" si="981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4.8748656802214432E-4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2.6012253751280917E-4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1.2028025377925596E-4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0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6.7490622456928284E-4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7.2642853455369459E-3</v>
      </c>
    </row>
    <row r="1622" spans="2:11" x14ac:dyDescent="0.3">
      <c r="B1622" t="str">
        <f t="shared" si="972"/>
        <v>SPS3</v>
      </c>
      <c r="C1622" t="str">
        <f t="shared" si="981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3">
      <c r="B1623" t="str">
        <f t="shared" si="972"/>
        <v>SPS3</v>
      </c>
      <c r="C1623" t="str">
        <f t="shared" si="981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3">
      <c r="B1624" t="str">
        <f t="shared" si="972"/>
        <v>SPS3</v>
      </c>
      <c r="C1624" t="str">
        <f t="shared" si="981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1.5752196061216581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1.3383504461150797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0.99881005235119469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3">
      <c r="B1625" t="str">
        <f t="shared" si="972"/>
        <v>SPS3</v>
      </c>
      <c r="C1625" t="str">
        <f t="shared" si="981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0.61918985535320514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0.72712282413014484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0.56731644476368259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5.1579575484986629E-6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9.6350919027150415E-4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3.1786642223738105E-4</v>
      </c>
    </row>
    <row r="1626" spans="2:11" x14ac:dyDescent="0.3">
      <c r="B1626" t="str">
        <f t="shared" si="972"/>
        <v>SPS3</v>
      </c>
      <c r="C1626" t="str">
        <f t="shared" si="981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0.15113649424420242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0.6794102110495438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2.2473419508130483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2.5027122578734367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0.19052622587945664</v>
      </c>
    </row>
    <row r="1627" spans="2:11" x14ac:dyDescent="0.3">
      <c r="B1627" t="str">
        <f t="shared" si="972"/>
        <v>SPS3</v>
      </c>
      <c r="C1627" t="str">
        <f t="shared" si="981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6.0414470171092109E-3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1.2098885963205278E-3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1.3125442842405425E-3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1.2148564822578824E-4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1.5579556493884808E-4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1.5063054186667242E-4</v>
      </c>
    </row>
    <row r="1628" spans="2:11" x14ac:dyDescent="0.3">
      <c r="B1628" s="2" t="str">
        <f t="shared" si="972"/>
        <v>SPS3</v>
      </c>
      <c r="C1628" s="2" t="str">
        <f t="shared" si="981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3">
      <c r="B1629" t="str">
        <f t="shared" si="972"/>
        <v>SPS3</v>
      </c>
      <c r="C1629" t="str">
        <f t="shared" si="981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07">IFERROR(G1619/G1593,"-")</f>
        <v>-</v>
      </c>
      <c r="H1629" s="1" t="str">
        <f t="shared" si="1007"/>
        <v>-</v>
      </c>
      <c r="I1629" s="1" t="str">
        <f t="shared" si="1007"/>
        <v>-</v>
      </c>
      <c r="J1629" s="1" t="str">
        <f t="shared" si="1007"/>
        <v>-</v>
      </c>
      <c r="K1629" s="1" t="str">
        <f t="shared" si="1007"/>
        <v>-</v>
      </c>
    </row>
    <row r="1630" spans="2:11" x14ac:dyDescent="0.3">
      <c r="B1630" t="str">
        <f t="shared" si="972"/>
        <v>SPS3</v>
      </c>
      <c r="C1630" t="str">
        <f t="shared" si="981"/>
        <v>CH</v>
      </c>
      <c r="D1630" t="s">
        <v>1636</v>
      </c>
      <c r="E1630" t="str">
        <f t="shared" ref="E1630:E1637" si="1008">E1629</f>
        <v>km/MJ</v>
      </c>
      <c r="F1630" s="1">
        <f>IFERROR(F1620/F1594,"-")</f>
        <v>0.268727764165409</v>
      </c>
      <c r="G1630" s="1">
        <f t="shared" ref="G1630:K1630" si="1009">IFERROR(G1620/G1594,"-")</f>
        <v>0.27052832826432527</v>
      </c>
      <c r="H1630" s="1">
        <f t="shared" si="1009"/>
        <v>0.27270271929140277</v>
      </c>
      <c r="I1630" s="1">
        <f t="shared" si="1009"/>
        <v>0.29183879045034272</v>
      </c>
      <c r="J1630" s="1">
        <f t="shared" si="1009"/>
        <v>0.31351778613530235</v>
      </c>
      <c r="K1630" s="1">
        <f t="shared" si="1009"/>
        <v>0.33940526096520862</v>
      </c>
    </row>
    <row r="1631" spans="2:11" x14ac:dyDescent="0.3">
      <c r="B1631" t="str">
        <f t="shared" si="972"/>
        <v>SPS3</v>
      </c>
      <c r="C1631" t="str">
        <f t="shared" si="981"/>
        <v>CH</v>
      </c>
      <c r="D1631" t="s">
        <v>1637</v>
      </c>
      <c r="E1631" t="str">
        <f t="shared" si="1008"/>
        <v>km/MJ</v>
      </c>
      <c r="F1631" s="1">
        <f>IFERROR(F1621/F1596,"-")</f>
        <v>0.174458731250899</v>
      </c>
      <c r="G1631" s="1">
        <f t="shared" ref="G1631:K1631" si="1010">IFERROR(G1621/G1596,"-")</f>
        <v>0.17524421567912385</v>
      </c>
      <c r="H1631" s="1">
        <f t="shared" si="1010"/>
        <v>0.17631773919708521</v>
      </c>
      <c r="I1631" s="1" t="str">
        <f t="shared" si="1010"/>
        <v>-</v>
      </c>
      <c r="J1631" s="1">
        <f t="shared" si="1010"/>
        <v>0.20214368669318125</v>
      </c>
      <c r="K1631" s="1">
        <f t="shared" si="1010"/>
        <v>0.2186362598115246</v>
      </c>
    </row>
    <row r="1632" spans="2:11" x14ac:dyDescent="0.3">
      <c r="B1632" t="str">
        <f t="shared" si="972"/>
        <v>SPS3</v>
      </c>
      <c r="C1632" t="str">
        <f t="shared" si="981"/>
        <v>CH</v>
      </c>
      <c r="D1632" t="s">
        <v>1638</v>
      </c>
      <c r="E1632" t="str">
        <f t="shared" si="1008"/>
        <v>km/MJ</v>
      </c>
      <c r="F1632" s="1" t="str">
        <f>IFERROR(F1622/F1602,"-")</f>
        <v>-</v>
      </c>
      <c r="G1632" s="1" t="str">
        <f t="shared" ref="G1632:K1632" si="1011">IFERROR(G1622/G1602,"-")</f>
        <v>-</v>
      </c>
      <c r="H1632" s="1" t="str">
        <f t="shared" si="1011"/>
        <v>-</v>
      </c>
      <c r="I1632" s="1" t="str">
        <f t="shared" si="1011"/>
        <v>-</v>
      </c>
      <c r="J1632" s="1" t="str">
        <f t="shared" si="1011"/>
        <v>-</v>
      </c>
      <c r="K1632" s="1" t="str">
        <f t="shared" si="1011"/>
        <v>-</v>
      </c>
    </row>
    <row r="1633" spans="2:11" x14ac:dyDescent="0.3">
      <c r="B1633" t="str">
        <f t="shared" si="972"/>
        <v>SPS3</v>
      </c>
      <c r="C1633" t="str">
        <f t="shared" si="981"/>
        <v>CH</v>
      </c>
      <c r="D1633" t="s">
        <v>1639</v>
      </c>
      <c r="E1633" t="str">
        <f t="shared" si="1008"/>
        <v>km/MJ</v>
      </c>
      <c r="F1633" s="1" t="str">
        <f>IFERROR(F1623/F1603,"-")</f>
        <v>-</v>
      </c>
      <c r="G1633" s="1" t="str">
        <f t="shared" ref="G1633:K1633" si="1012">IFERROR(G1623/G1603,"-")</f>
        <v>-</v>
      </c>
      <c r="H1633" s="1" t="str">
        <f t="shared" si="1012"/>
        <v>-</v>
      </c>
      <c r="I1633" s="1" t="str">
        <f t="shared" si="1012"/>
        <v>-</v>
      </c>
      <c r="J1633" s="1" t="str">
        <f t="shared" si="1012"/>
        <v>-</v>
      </c>
      <c r="K1633" s="1" t="str">
        <f t="shared" si="1012"/>
        <v>-</v>
      </c>
    </row>
    <row r="1634" spans="2:11" x14ac:dyDescent="0.3">
      <c r="B1634" t="str">
        <f t="shared" si="972"/>
        <v>SPS3</v>
      </c>
      <c r="C1634" t="str">
        <f t="shared" si="981"/>
        <v>CH</v>
      </c>
      <c r="D1634" t="s">
        <v>1640</v>
      </c>
      <c r="E1634" t="str">
        <f t="shared" si="1008"/>
        <v>km/MJ</v>
      </c>
      <c r="F1634" s="1">
        <f>IFERROR(F1624/F1609,"-")</f>
        <v>8.1953661871669775E-2</v>
      </c>
      <c r="G1634" s="1">
        <f t="shared" ref="G1634:K1634" si="1013">IFERROR(G1624/G1609,"-")</f>
        <v>8.399621061566033E-2</v>
      </c>
      <c r="H1634" s="1">
        <f t="shared" si="1013"/>
        <v>8.7060033731645989E-2</v>
      </c>
      <c r="I1634" s="1" t="str">
        <f t="shared" si="1013"/>
        <v>-</v>
      </c>
      <c r="J1634" s="1" t="str">
        <f t="shared" si="1013"/>
        <v>-</v>
      </c>
      <c r="K1634" s="1" t="str">
        <f t="shared" si="1013"/>
        <v>-</v>
      </c>
    </row>
    <row r="1635" spans="2:11" x14ac:dyDescent="0.3">
      <c r="B1635" t="str">
        <f t="shared" si="972"/>
        <v>SPS3</v>
      </c>
      <c r="C1635" t="str">
        <f t="shared" si="981"/>
        <v>CH</v>
      </c>
      <c r="D1635" t="s">
        <v>1641</v>
      </c>
      <c r="E1635" t="str">
        <f t="shared" si="1008"/>
        <v>km/MJ</v>
      </c>
      <c r="F1635" s="1">
        <f>IFERROR(F1625/F1610,"-")</f>
        <v>0.11870351496053494</v>
      </c>
      <c r="G1635" s="1">
        <f t="shared" ref="G1635:K1635" si="1014">IFERROR(G1625/G1610,"-")</f>
        <v>0.11870351496053477</v>
      </c>
      <c r="H1635" s="1">
        <f t="shared" si="1014"/>
        <v>0.11870351496053534</v>
      </c>
      <c r="I1635" s="1">
        <f t="shared" si="1014"/>
        <v>0.11870351496053513</v>
      </c>
      <c r="J1635" s="1">
        <f t="shared" si="1014"/>
        <v>0.11870351496053508</v>
      </c>
      <c r="K1635" s="1">
        <f t="shared" si="1014"/>
        <v>0.11870351496053502</v>
      </c>
    </row>
    <row r="1636" spans="2:11" x14ac:dyDescent="0.3">
      <c r="B1636" t="str">
        <f t="shared" si="972"/>
        <v>SPS3</v>
      </c>
      <c r="C1636" t="str">
        <f t="shared" si="981"/>
        <v>CH</v>
      </c>
      <c r="D1636" t="s">
        <v>1642</v>
      </c>
      <c r="E1636" t="str">
        <f t="shared" si="1008"/>
        <v>km/MJ</v>
      </c>
      <c r="F1636" s="1" t="str">
        <f>IFERROR(F1626/F1611,"-")</f>
        <v>-</v>
      </c>
      <c r="G1636" s="1">
        <f t="shared" ref="G1636:K1636" si="1015">IFERROR(G1626/G1611,"-")</f>
        <v>0.16346685209675818</v>
      </c>
      <c r="H1636" s="1">
        <f t="shared" si="1015"/>
        <v>0.16346685209675813</v>
      </c>
      <c r="I1636" s="1">
        <f t="shared" si="1015"/>
        <v>0.16346685209675799</v>
      </c>
      <c r="J1636" s="1">
        <f t="shared" si="1015"/>
        <v>0.16346685209675788</v>
      </c>
      <c r="K1636" s="1">
        <f t="shared" si="1015"/>
        <v>0.16346685209675796</v>
      </c>
    </row>
    <row r="1637" spans="2:11" x14ac:dyDescent="0.3">
      <c r="B1637" t="str">
        <f t="shared" si="972"/>
        <v>SPS3</v>
      </c>
      <c r="C1637" t="str">
        <f t="shared" si="981"/>
        <v>CH</v>
      </c>
      <c r="D1637" t="s">
        <v>1643</v>
      </c>
      <c r="E1637" t="str">
        <f t="shared" si="1008"/>
        <v>km/MJ</v>
      </c>
      <c r="F1637" s="1">
        <f>IFERROR(F1627/F1617,"-")</f>
        <v>0.10322365358775988</v>
      </c>
      <c r="G1637" s="1">
        <f t="shared" ref="G1637:K1637" si="1016">IFERROR(G1627/G1617,"-")</f>
        <v>0.10354298356114602</v>
      </c>
      <c r="H1637" s="1">
        <f t="shared" si="1016"/>
        <v>0.10406153486635646</v>
      </c>
      <c r="I1637" s="1">
        <f t="shared" si="1016"/>
        <v>0.11042646127837792</v>
      </c>
      <c r="J1637" s="1">
        <f t="shared" si="1016"/>
        <v>0.11890266754964238</v>
      </c>
      <c r="K1637" s="1">
        <f t="shared" si="1016"/>
        <v>0.12847710175130739</v>
      </c>
    </row>
    <row r="1638" spans="2:11" x14ac:dyDescent="0.3">
      <c r="B1638" s="2" t="str">
        <f t="shared" si="972"/>
        <v>SPS3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28.743313920337449</v>
      </c>
      <c r="G1638" s="1">
        <f t="shared" ref="G1638:K1638" si="1017">G1639+G1643+G1647+G1653</f>
        <v>25.391181972232424</v>
      </c>
      <c r="H1638" s="1">
        <f t="shared" si="1017"/>
        <v>21.655938817593594</v>
      </c>
      <c r="I1638" s="1">
        <f t="shared" si="1017"/>
        <v>17.15192893120674</v>
      </c>
      <c r="J1638" s="1">
        <f t="shared" si="1017"/>
        <v>28.154626537998013</v>
      </c>
      <c r="K1638" s="1">
        <f t="shared" si="1017"/>
        <v>28.97547089311335</v>
      </c>
    </row>
    <row r="1639" spans="2:11" x14ac:dyDescent="0.3">
      <c r="B1639" t="str">
        <f t="shared" si="972"/>
        <v>SPS3</v>
      </c>
      <c r="C1639" t="str">
        <f t="shared" ref="C1639:C1682" si="1018">C1638</f>
        <v>CH</v>
      </c>
      <c r="D1639" t="s">
        <v>1653</v>
      </c>
      <c r="E1639" t="s">
        <v>8</v>
      </c>
      <c r="F1639" s="1">
        <f>SUM(F1640:F1642)</f>
        <v>9.2070324311748433</v>
      </c>
      <c r="G1639" s="1">
        <f t="shared" ref="G1639:K1639" si="1019">SUM(G1640:G1642)</f>
        <v>11.16332601045821</v>
      </c>
      <c r="H1639" s="1">
        <f t="shared" si="1019"/>
        <v>13.648995010963681</v>
      </c>
      <c r="I1639" s="1">
        <f t="shared" si="1019"/>
        <v>17.151928839915456</v>
      </c>
      <c r="J1639" s="1">
        <f t="shared" si="1019"/>
        <v>11.737945193879984</v>
      </c>
      <c r="K1639" s="1">
        <f t="shared" si="1019"/>
        <v>12.632949951163372</v>
      </c>
    </row>
    <row r="1640" spans="2:11" x14ac:dyDescent="0.3">
      <c r="B1640" t="str">
        <f t="shared" si="972"/>
        <v>SPS3</v>
      </c>
      <c r="C1640" t="str">
        <f t="shared" si="1018"/>
        <v>CH</v>
      </c>
      <c r="D1640" t="s">
        <v>1654</v>
      </c>
      <c r="E1640" t="str">
        <f t="shared" ref="E1640:E1642" si="1020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8.711809997176081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9.7093219886090889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10.452588275482805</v>
      </c>
    </row>
    <row r="1641" spans="2:11" x14ac:dyDescent="0.3">
      <c r="B1641" t="str">
        <f t="shared" si="972"/>
        <v>SPS3</v>
      </c>
      <c r="C1641" t="str">
        <f t="shared" si="1018"/>
        <v>CH</v>
      </c>
      <c r="D1641" t="s">
        <v>1655</v>
      </c>
      <c r="E1641" t="str">
        <f t="shared" si="1020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1.5023124180738976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1.5893076146585481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1.7437781889356114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1.8944899244440823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2.0279633821603449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2.1801791922795335</v>
      </c>
    </row>
    <row r="1642" spans="2:11" x14ac:dyDescent="0.3">
      <c r="B1642" t="str">
        <f t="shared" si="972"/>
        <v>SPS3</v>
      </c>
      <c r="C1642" t="str">
        <f t="shared" si="1018"/>
        <v>CH</v>
      </c>
      <c r="D1642" t="s">
        <v>1656</v>
      </c>
      <c r="E1642" t="str">
        <f t="shared" si="1020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1.6681129589487371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3.6973153697237162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6.5456289182952911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6.5982311054943986E-4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1.824834010342112E-4</v>
      </c>
    </row>
    <row r="1643" spans="2:11" x14ac:dyDescent="0.3">
      <c r="B1643" t="str">
        <f t="shared" si="972"/>
        <v>SPS3</v>
      </c>
      <c r="C1643" t="str">
        <f t="shared" si="1018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21">SUM(G1644:G1646)</f>
        <v>0</v>
      </c>
      <c r="H1643" s="1">
        <f t="shared" si="1021"/>
        <v>0</v>
      </c>
      <c r="I1643" s="1">
        <f t="shared" si="1021"/>
        <v>0</v>
      </c>
      <c r="J1643" s="1">
        <f t="shared" si="1021"/>
        <v>8.8752309427459533E-5</v>
      </c>
      <c r="K1643" s="1">
        <f t="shared" si="1021"/>
        <v>5.6310910340982753E-5</v>
      </c>
    </row>
    <row r="1644" spans="2:11" x14ac:dyDescent="0.3">
      <c r="B1644" t="str">
        <f t="shared" si="972"/>
        <v>SPS3</v>
      </c>
      <c r="C1644" t="str">
        <f t="shared" si="1018"/>
        <v>CH</v>
      </c>
      <c r="D1644" t="s">
        <v>1658</v>
      </c>
      <c r="E1644" t="str">
        <f t="shared" ref="E1644:E1646" si="1022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0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0</v>
      </c>
    </row>
    <row r="1645" spans="2:11" x14ac:dyDescent="0.3">
      <c r="B1645" t="str">
        <f t="shared" si="972"/>
        <v>SPS3</v>
      </c>
      <c r="C1645" t="str">
        <f t="shared" si="1018"/>
        <v>CH</v>
      </c>
      <c r="D1645" t="s">
        <v>1659</v>
      </c>
      <c r="E1645" t="str">
        <f t="shared" si="1022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3">
      <c r="B1646" t="str">
        <f t="shared" si="972"/>
        <v>SPS3</v>
      </c>
      <c r="C1646" t="str">
        <f t="shared" si="1018"/>
        <v>CH</v>
      </c>
      <c r="D1646" t="s">
        <v>1660</v>
      </c>
      <c r="E1646" t="str">
        <f t="shared" si="1022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0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8.8752309427459533E-5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5.6310910340982753E-5</v>
      </c>
    </row>
    <row r="1647" spans="2:11" x14ac:dyDescent="0.3">
      <c r="B1647" t="str">
        <f t="shared" si="972"/>
        <v>SPS3</v>
      </c>
      <c r="C1647" t="str">
        <f t="shared" si="1018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23">G1652</f>
        <v>2.5518785775181406E-4</v>
      </c>
      <c r="H1647" s="1">
        <f t="shared" si="1023"/>
        <v>1.4219611587296798E-3</v>
      </c>
      <c r="I1647" s="1">
        <f t="shared" si="1023"/>
        <v>2.6593742011443611E-8</v>
      </c>
      <c r="J1647" s="1">
        <f t="shared" si="1023"/>
        <v>0.86764170658182138</v>
      </c>
      <c r="K1647" s="1">
        <f t="shared" si="1023"/>
        <v>0</v>
      </c>
    </row>
    <row r="1648" spans="2:11" x14ac:dyDescent="0.3">
      <c r="B1648" t="str">
        <f t="shared" si="972"/>
        <v>SPS3</v>
      </c>
      <c r="C1648" t="str">
        <f t="shared" si="1018"/>
        <v>CH</v>
      </c>
      <c r="D1648" t="s">
        <v>1662</v>
      </c>
      <c r="E1648" t="str">
        <f t="shared" ref="E1648:E1660" si="1024">E1647</f>
        <v>PJ/yr.</v>
      </c>
      <c r="F1648" s="1">
        <f>F1647-F1649</f>
        <v>1.6634705689274223</v>
      </c>
      <c r="G1648" s="1">
        <f t="shared" ref="G1648:K1648" si="1025">G1647-G1649</f>
        <v>2.412149085102776E-4</v>
      </c>
      <c r="H1648" s="1">
        <f t="shared" si="1025"/>
        <v>1.3440686480331865E-3</v>
      </c>
      <c r="I1648" s="1">
        <f t="shared" si="1025"/>
        <v>2.0504415415562149E-8</v>
      </c>
      <c r="J1648" s="1">
        <f t="shared" si="1025"/>
        <v>2.1993913640746654E-2</v>
      </c>
      <c r="K1648" s="1">
        <f t="shared" si="1025"/>
        <v>0</v>
      </c>
    </row>
    <row r="1649" spans="2:11" x14ac:dyDescent="0.3">
      <c r="B1649" t="str">
        <f t="shared" si="972"/>
        <v>SPS3</v>
      </c>
      <c r="C1649" t="str">
        <f t="shared" si="1018"/>
        <v>CH</v>
      </c>
      <c r="D1649" t="s">
        <v>1663</v>
      </c>
      <c r="E1649" t="str">
        <f t="shared" si="1024"/>
        <v>PJ/yr.</v>
      </c>
      <c r="F1649" s="1">
        <f>SUM(F1650:F1651)</f>
        <v>9.633719480093568E-2</v>
      </c>
      <c r="G1649" s="1">
        <f t="shared" ref="G1649:K1649" si="1026">SUM(G1650:G1651)</f>
        <v>1.397294924153646E-5</v>
      </c>
      <c r="H1649" s="1">
        <f t="shared" si="1026"/>
        <v>7.7892510696493387E-5</v>
      </c>
      <c r="I1649" s="1">
        <f t="shared" si="1026"/>
        <v>6.089326595881461E-9</v>
      </c>
      <c r="J1649" s="1">
        <f t="shared" si="1026"/>
        <v>0.84564779294107473</v>
      </c>
      <c r="K1649" s="1">
        <f t="shared" si="1026"/>
        <v>0</v>
      </c>
    </row>
    <row r="1650" spans="2:11" x14ac:dyDescent="0.3">
      <c r="B1650" t="str">
        <f t="shared" si="972"/>
        <v>SPS3</v>
      </c>
      <c r="C1650" t="str">
        <f t="shared" si="1018"/>
        <v>CH</v>
      </c>
      <c r="D1650" t="s">
        <v>1664</v>
      </c>
      <c r="E1650" t="str">
        <f t="shared" si="1024"/>
        <v>PJ/yr.</v>
      </c>
      <c r="F1650" s="1">
        <f>[1]Transport!B$25/SUM([1]Transport!B$21,[1]Transport!B$25)*F1647*(F$34+F$598)/(F$34+F$598+F$37)</f>
        <v>9.633719480093568E-2</v>
      </c>
      <c r="G1650" s="1">
        <f>[1]Transport!C$25/SUM([1]Transport!C$21,[1]Transport!C$25)*G1647*(G$34+G$598)/(G$34+G$598+G$37)</f>
        <v>1.397294924153646E-5</v>
      </c>
      <c r="H1650" s="1">
        <f>[1]Transport!D$25/SUM([1]Transport!D$21,[1]Transport!D$25)*H1647*(H$34+H$598)/(H$34+H$598+H$37)</f>
        <v>7.7892510696493387E-5</v>
      </c>
      <c r="I1650" s="1">
        <f>[1]Transport!E$25/SUM([1]Transport!E$21,[1]Transport!E$25)*I1647*(I$34+I$598)/(I$34+I$598+I$37)</f>
        <v>6.089326595881461E-9</v>
      </c>
      <c r="J1650" s="1">
        <f>[1]Transport!F$25/SUM([1]Transport!F$21,[1]Transport!F$25)*J1647*(J$34+J$598)/(J$34+J$598+J$37)</f>
        <v>0.24028603178554794</v>
      </c>
      <c r="K1650" s="1">
        <f>[1]Transport!G$25/SUM([1]Transport!G$21,[1]Transport!G$25)*K1647*(K$34+K$598)/(K$34+K$598+K$37)</f>
        <v>0</v>
      </c>
    </row>
    <row r="1651" spans="2:11" x14ac:dyDescent="0.3">
      <c r="B1651" t="str">
        <f t="shared" si="972"/>
        <v>SPS3</v>
      </c>
      <c r="C1651" t="str">
        <f t="shared" si="1018"/>
        <v>CH</v>
      </c>
      <c r="D1651" t="s">
        <v>1665</v>
      </c>
      <c r="E1651" t="str">
        <f t="shared" si="1024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0.60536176115552676</v>
      </c>
      <c r="K1651" s="1">
        <f>(K$37+K$717)/([1]Transport!G$21+[1]Transport!G$25)*K1647</f>
        <v>0</v>
      </c>
    </row>
    <row r="1652" spans="2:11" x14ac:dyDescent="0.3">
      <c r="B1652" t="str">
        <f t="shared" ref="B1652:B1715" si="1027">B1651</f>
        <v>SPS3</v>
      </c>
      <c r="C1652" t="str">
        <f t="shared" si="1018"/>
        <v>CH</v>
      </c>
      <c r="D1652" t="s">
        <v>1666</v>
      </c>
      <c r="E1652" t="str">
        <f t="shared" si="1024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2.5518785775181406E-4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1.4219611587296798E-3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2.6593742011443611E-8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0.86764170658182138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3">
      <c r="B1653" t="str">
        <f t="shared" si="1027"/>
        <v>SPS3</v>
      </c>
      <c r="C1653" t="str">
        <f t="shared" si="1018"/>
        <v>CH</v>
      </c>
      <c r="D1653" t="s">
        <v>1667</v>
      </c>
      <c r="E1653" t="str">
        <f t="shared" si="1024"/>
        <v>PJ/yr.</v>
      </c>
      <c r="F1653" s="1">
        <f>SUM(F1658:F1660)</f>
        <v>17.776473725434251</v>
      </c>
      <c r="G1653" s="1">
        <f t="shared" ref="G1653:K1653" si="1028">SUM(G1658:G1660)</f>
        <v>14.22760077391646</v>
      </c>
      <c r="H1653" s="1">
        <f t="shared" si="1028"/>
        <v>8.0055218454711845</v>
      </c>
      <c r="I1653" s="1">
        <f t="shared" si="1028"/>
        <v>6.4697542239786578E-8</v>
      </c>
      <c r="J1653" s="1">
        <f t="shared" si="1028"/>
        <v>15.548950885226782</v>
      </c>
      <c r="K1653" s="1">
        <f t="shared" si="1028"/>
        <v>16.342464631039636</v>
      </c>
    </row>
    <row r="1654" spans="2:11" x14ac:dyDescent="0.3">
      <c r="B1654" t="str">
        <f t="shared" si="1027"/>
        <v>SPS3</v>
      </c>
      <c r="C1654" t="str">
        <f t="shared" si="1018"/>
        <v>CH</v>
      </c>
      <c r="D1654" t="s">
        <v>1668</v>
      </c>
      <c r="E1654" t="str">
        <f t="shared" si="1024"/>
        <v>PJ/yr.</v>
      </c>
      <c r="F1654" s="1">
        <f>F1653-F1655</f>
        <v>17.344300160520365</v>
      </c>
      <c r="G1654" s="1">
        <f t="shared" ref="G1654:K1654" si="1029">G1653-G1655</f>
        <v>13.850806562844721</v>
      </c>
      <c r="H1654" s="1">
        <f t="shared" si="1029"/>
        <v>7.7377816862523821</v>
      </c>
      <c r="I1654" s="1">
        <f t="shared" si="1029"/>
        <v>6.1084453536831464E-8</v>
      </c>
      <c r="J1654" s="1">
        <f t="shared" si="1029"/>
        <v>14.206651729146932</v>
      </c>
      <c r="K1654" s="1">
        <f t="shared" si="1029"/>
        <v>-2.6470941418399612</v>
      </c>
    </row>
    <row r="1655" spans="2:11" x14ac:dyDescent="0.3">
      <c r="B1655" t="str">
        <f t="shared" si="1027"/>
        <v>SPS3</v>
      </c>
      <c r="C1655" t="str">
        <f t="shared" si="1018"/>
        <v>CH</v>
      </c>
      <c r="D1655" t="s">
        <v>1669</v>
      </c>
      <c r="E1655" t="str">
        <f t="shared" si="1024"/>
        <v>PJ/yr.</v>
      </c>
      <c r="F1655" s="1">
        <f>SUM(F1656:F1657)</f>
        <v>0.43217356491388598</v>
      </c>
      <c r="G1655" s="1">
        <f t="shared" ref="G1655:K1655" si="1030">SUM(G1656:G1657)</f>
        <v>0.37679421107174044</v>
      </c>
      <c r="H1655" s="1">
        <f t="shared" si="1030"/>
        <v>0.2677401592188024</v>
      </c>
      <c r="I1655" s="1">
        <f t="shared" si="1030"/>
        <v>3.6130887029551193E-9</v>
      </c>
      <c r="J1655" s="1">
        <f t="shared" si="1030"/>
        <v>1.3422991560798498</v>
      </c>
      <c r="K1655" s="1">
        <f t="shared" si="1030"/>
        <v>18.989558772879597</v>
      </c>
    </row>
    <row r="1656" spans="2:11" x14ac:dyDescent="0.3">
      <c r="B1656" t="str">
        <f t="shared" si="1027"/>
        <v>SPS3</v>
      </c>
      <c r="C1656" t="str">
        <f t="shared" si="1018"/>
        <v>CH</v>
      </c>
      <c r="D1656" t="s">
        <v>1670</v>
      </c>
      <c r="E1656" t="str">
        <f t="shared" si="1024"/>
        <v>PJ/yr.</v>
      </c>
      <c r="F1656" s="1">
        <f>[1]Transport!B$26/SUM([1]Transport!B$22,[1]Transport!B$26)*F1653*(F$33+F$580)/(F$33+F$580+F$36)</f>
        <v>0.43217356491388598</v>
      </c>
      <c r="G1656" s="1">
        <f>[1]Transport!C$26/SUM([1]Transport!C$22,[1]Transport!C$26)*G1653*(G$33+G$580)/(G$33+G$580+G$36)</f>
        <v>0.37679421107174044</v>
      </c>
      <c r="H1656" s="1">
        <f>[1]Transport!D$26/SUM([1]Transport!D$22,[1]Transport!D$26)*H1653*(H$33+H$580)/(H$33+H$580+H$36)</f>
        <v>0.2677401592188024</v>
      </c>
      <c r="I1656" s="1">
        <f>[1]Transport!E$26/SUM([1]Transport!E$22,[1]Transport!E$26)*I1653*(I$33+I$580)/(I$33+I$580+I$36)</f>
        <v>3.6130887029551193E-9</v>
      </c>
      <c r="J1656" s="1">
        <f>[1]Transport!F$26/SUM([1]Transport!F$22,[1]Transport!F$26)*J1653*(J$33+J$580)/(J$33+J$580+J$36)</f>
        <v>0.93745136888000136</v>
      </c>
      <c r="K1656" s="1">
        <f>[1]Transport!G$26/SUM([1]Transport!G$22,[1]Transport!G$26)*K1653*(K$33+K$580)/(K$33+K$580+K$36)</f>
        <v>2.9435531543883218</v>
      </c>
    </row>
    <row r="1657" spans="2:11" x14ac:dyDescent="0.3">
      <c r="B1657" t="str">
        <f t="shared" si="1027"/>
        <v>SPS3</v>
      </c>
      <c r="C1657" t="str">
        <f t="shared" si="1018"/>
        <v>CH</v>
      </c>
      <c r="D1657" t="s">
        <v>1671</v>
      </c>
      <c r="E1657" t="str">
        <f t="shared" si="1024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0.40484778719984849</v>
      </c>
      <c r="K1657" s="1">
        <f>(K$36+K$716)/([1]Transport!G$22+[1]Transport!G$26)*K1653</f>
        <v>16.046005618491275</v>
      </c>
    </row>
    <row r="1658" spans="2:11" x14ac:dyDescent="0.3">
      <c r="B1658" t="str">
        <f t="shared" si="1027"/>
        <v>SPS3</v>
      </c>
      <c r="C1658" t="str">
        <f t="shared" si="1018"/>
        <v>CH</v>
      </c>
      <c r="D1658" t="s">
        <v>1672</v>
      </c>
      <c r="E1658" t="str">
        <f t="shared" si="1024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3">
      <c r="B1659" t="str">
        <f t="shared" si="1027"/>
        <v>SPS3</v>
      </c>
      <c r="C1659" t="str">
        <f t="shared" si="1018"/>
        <v>CH</v>
      </c>
      <c r="D1659" t="s">
        <v>1673</v>
      </c>
      <c r="E1659" t="str">
        <f t="shared" si="1024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0.39607591909954193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0.28174307250693487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1.1013672226195249E-2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1.6120285337418857E-3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1.5484179806223876E-3</v>
      </c>
    </row>
    <row r="1660" spans="2:11" x14ac:dyDescent="0.3">
      <c r="B1660" t="str">
        <f t="shared" si="1027"/>
        <v>SPS3</v>
      </c>
      <c r="C1660" t="str">
        <f t="shared" si="1018"/>
        <v>CH</v>
      </c>
      <c r="D1660" t="s">
        <v>1674</v>
      </c>
      <c r="E1660" t="str">
        <f t="shared" si="1024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13.945857701409526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7.9945081732449896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6.4697542239786578E-8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15.54733885669304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16.340916213059014</v>
      </c>
    </row>
    <row r="1661" spans="2:11" x14ac:dyDescent="0.3">
      <c r="B1661" s="2" t="str">
        <f t="shared" si="1027"/>
        <v>SPS3</v>
      </c>
      <c r="C1661" s="2" t="str">
        <f t="shared" si="1018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3">
      <c r="B1662" t="str">
        <f t="shared" si="1027"/>
        <v>SPS3</v>
      </c>
      <c r="C1662" t="str">
        <f t="shared" si="1018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0.22017045262536084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0.24502563722589676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0.26340107396293244</v>
      </c>
    </row>
    <row r="1663" spans="2:11" x14ac:dyDescent="0.3">
      <c r="B1663" t="str">
        <f t="shared" si="1027"/>
        <v>SPS3</v>
      </c>
      <c r="C1663" t="str">
        <f t="shared" si="1018"/>
        <v>CH</v>
      </c>
      <c r="D1663" t="s">
        <v>1677</v>
      </c>
      <c r="E1663" t="str">
        <f t="shared" ref="E1663:E1666" si="1031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2.5094675035113083E-2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2.6547845601796204E-2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2.9128127051469679E-2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3.1645620737245091E-2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3.387516567537243E-2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3.6417783471905614E-2</v>
      </c>
    </row>
    <row r="1664" spans="2:11" x14ac:dyDescent="0.3">
      <c r="B1664" t="str">
        <f t="shared" si="1027"/>
        <v>SPS3</v>
      </c>
      <c r="C1664" t="str">
        <f t="shared" si="1018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4.11588740958004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9.1227237926878608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16.150627874489501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1.6280418053774301E-3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4.5025795689963101E-4</v>
      </c>
    </row>
    <row r="1665" spans="2:11" x14ac:dyDescent="0.3">
      <c r="B1665" t="str">
        <f t="shared" si="1027"/>
        <v>SPS3</v>
      </c>
      <c r="C1665" t="str">
        <f t="shared" si="1018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0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0</v>
      </c>
    </row>
    <row r="1666" spans="2:11" x14ac:dyDescent="0.3">
      <c r="B1666" t="str">
        <f t="shared" si="1027"/>
        <v>SPS3</v>
      </c>
      <c r="C1666" t="str">
        <f t="shared" si="1018"/>
        <v>CH</v>
      </c>
      <c r="D1666" t="s">
        <v>1680</v>
      </c>
      <c r="E1666" t="str">
        <f t="shared" si="1031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3">
      <c r="B1667" t="str">
        <f t="shared" si="1027"/>
        <v>SPS3</v>
      </c>
      <c r="C1667" t="str">
        <f t="shared" si="1018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0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1.5917533756011799E-4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1.00992393546328E-4</v>
      </c>
    </row>
    <row r="1668" spans="2:11" x14ac:dyDescent="0.3">
      <c r="B1668" t="str">
        <f t="shared" si="1027"/>
        <v>SPS3</v>
      </c>
      <c r="C1668" t="str">
        <f t="shared" si="1018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2.3130540517946201E-4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1.2888830403886601E-3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2.4104894039188902E-8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0.78644108798739498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3">
      <c r="B1669" t="str">
        <f t="shared" si="1027"/>
        <v>SPS3</v>
      </c>
      <c r="C1669" t="str">
        <f t="shared" si="1018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3">
      <c r="B1670" t="str">
        <f t="shared" si="1027"/>
        <v>SPS3</v>
      </c>
      <c r="C1670" t="str">
        <f t="shared" si="1018"/>
        <v>CH</v>
      </c>
      <c r="D1670" t="s">
        <v>1684</v>
      </c>
      <c r="E1670" t="str">
        <f t="shared" ref="E1670" si="1032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1.6053249648869251E-3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1.1419254899605743E-3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4.4639227297606806E-5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6.5336707548623721E-6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6.2758524830897516E-6</v>
      </c>
    </row>
    <row r="1671" spans="2:11" x14ac:dyDescent="0.3">
      <c r="B1671" t="str">
        <f t="shared" si="1027"/>
        <v>SPS3</v>
      </c>
      <c r="C1671" t="str">
        <f t="shared" si="1018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13.782269724592499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7.9007308347901803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6.3938625845640098E-8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15.364965153841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16.149233673349698</v>
      </c>
    </row>
    <row r="1672" spans="2:11" x14ac:dyDescent="0.3">
      <c r="B1672" s="2" t="str">
        <f t="shared" si="1027"/>
        <v>SPS3</v>
      </c>
      <c r="C1672" s="2" t="str">
        <f t="shared" si="1018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3">
      <c r="B1673" t="str">
        <f t="shared" si="1027"/>
        <v>SPS3</v>
      </c>
      <c r="C1673" t="str">
        <f t="shared" si="1018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33">IFERROR(G1662/G1640,"-")</f>
        <v>2.5301857215832019E-2</v>
      </c>
      <c r="H1673" s="7">
        <f t="shared" si="1033"/>
        <v>2.5290901397750198E-2</v>
      </c>
      <c r="I1673" s="7">
        <f t="shared" si="1033"/>
        <v>2.5272641700947188E-2</v>
      </c>
      <c r="J1673" s="7">
        <f t="shared" si="1033"/>
        <v>2.5236122307341253E-2</v>
      </c>
      <c r="K1673" s="7">
        <f t="shared" si="1033"/>
        <v>2.5199602913735349E-2</v>
      </c>
    </row>
    <row r="1674" spans="2:11" x14ac:dyDescent="0.3">
      <c r="B1674" t="str">
        <f t="shared" si="1027"/>
        <v>SPS3</v>
      </c>
      <c r="C1674" t="str">
        <f t="shared" si="1018"/>
        <v>CH</v>
      </c>
      <c r="D1674" t="s">
        <v>1688</v>
      </c>
      <c r="E1674" t="s">
        <v>1230</v>
      </c>
      <c r="F1674" s="7">
        <f>IFERROR(F1663/F1641,"-")</f>
        <v>1.6704032219401314E-2</v>
      </c>
      <c r="G1674" s="7">
        <f t="shared" ref="G1674:K1674" si="1034">IFERROR(G1663/G1641,"-")</f>
        <v>1.6704032219401293E-2</v>
      </c>
      <c r="H1674" s="7">
        <f t="shared" si="1034"/>
        <v>1.6704032219401289E-2</v>
      </c>
      <c r="I1674" s="7">
        <f t="shared" si="1034"/>
        <v>1.6704032219401303E-2</v>
      </c>
      <c r="J1674" s="7">
        <f t="shared" si="1034"/>
        <v>1.67040322194013E-2</v>
      </c>
      <c r="K1674" s="7">
        <f t="shared" si="1034"/>
        <v>1.6704032219401293E-2</v>
      </c>
    </row>
    <row r="1675" spans="2:11" x14ac:dyDescent="0.3">
      <c r="B1675" t="str">
        <f t="shared" si="1027"/>
        <v>SPS3</v>
      </c>
      <c r="C1675" t="str">
        <f t="shared" si="1018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35">IFERROR(G1664/G1642,"-")</f>
        <v>2.4673913043478284</v>
      </c>
      <c r="H1675">
        <f t="shared" si="1035"/>
        <v>2.4673913043478248</v>
      </c>
      <c r="I1675">
        <f t="shared" si="1035"/>
        <v>2.467391304347831</v>
      </c>
      <c r="J1675">
        <f t="shared" si="1035"/>
        <v>2.4673913043478382</v>
      </c>
      <c r="K1675">
        <f t="shared" si="1035"/>
        <v>2.4673913043478324</v>
      </c>
    </row>
    <row r="1676" spans="2:11" x14ac:dyDescent="0.3">
      <c r="B1676" t="str">
        <f t="shared" si="1027"/>
        <v>SPS3</v>
      </c>
      <c r="C1676" t="str">
        <f t="shared" si="1018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36">IFERROR(G1665/G1644,"-")</f>
        <v>-</v>
      </c>
      <c r="H1676" t="str">
        <f t="shared" si="1036"/>
        <v>-</v>
      </c>
      <c r="I1676" t="str">
        <f t="shared" si="1036"/>
        <v>-</v>
      </c>
      <c r="J1676" t="str">
        <f t="shared" si="1036"/>
        <v>-</v>
      </c>
      <c r="K1676" t="str">
        <f t="shared" si="1036"/>
        <v>-</v>
      </c>
    </row>
    <row r="1677" spans="2:11" x14ac:dyDescent="0.3">
      <c r="B1677" t="str">
        <f t="shared" si="1027"/>
        <v>SPS3</v>
      </c>
      <c r="C1677" t="str">
        <f t="shared" si="1018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37">IFERROR(G1666/G1645,"-")</f>
        <v>-</v>
      </c>
      <c r="H1677" t="str">
        <f t="shared" si="1037"/>
        <v>-</v>
      </c>
      <c r="I1677" t="str">
        <f t="shared" si="1037"/>
        <v>-</v>
      </c>
      <c r="J1677" t="str">
        <f t="shared" si="1037"/>
        <v>-</v>
      </c>
      <c r="K1677" t="str">
        <f t="shared" si="1037"/>
        <v>-</v>
      </c>
    </row>
    <row r="1678" spans="2:11" x14ac:dyDescent="0.3">
      <c r="B1678" t="str">
        <f t="shared" si="1027"/>
        <v>SPS3</v>
      </c>
      <c r="C1678" t="str">
        <f t="shared" si="1018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38">IFERROR(G1667/G1646,"-")</f>
        <v>-</v>
      </c>
      <c r="H1678" t="str">
        <f t="shared" si="1038"/>
        <v>-</v>
      </c>
      <c r="I1678" t="str">
        <f t="shared" si="1038"/>
        <v>-</v>
      </c>
      <c r="J1678">
        <f t="shared" si="1038"/>
        <v>1.7934782608695692</v>
      </c>
      <c r="K1678">
        <f t="shared" si="1038"/>
        <v>1.7934782608695694</v>
      </c>
    </row>
    <row r="1679" spans="2:11" x14ac:dyDescent="0.3">
      <c r="B1679" t="str">
        <f t="shared" si="1027"/>
        <v>SPS3</v>
      </c>
      <c r="C1679" t="str">
        <f t="shared" si="1018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39">IFERROR(G1668/G1652,"-")</f>
        <v>0.90641226905247507</v>
      </c>
      <c r="H1679" s="4">
        <f t="shared" si="1039"/>
        <v>0.90641226905247807</v>
      </c>
      <c r="I1679" s="4">
        <f t="shared" si="1039"/>
        <v>0.90641226905248129</v>
      </c>
      <c r="J1679" s="4">
        <f t="shared" si="1039"/>
        <v>0.90641226905248018</v>
      </c>
      <c r="K1679" s="4" t="str">
        <f t="shared" si="1039"/>
        <v>-</v>
      </c>
    </row>
    <row r="1680" spans="2:11" x14ac:dyDescent="0.3">
      <c r="B1680" t="str">
        <f t="shared" si="1027"/>
        <v>SPS3</v>
      </c>
      <c r="C1680" t="str">
        <f t="shared" si="1018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40">IFERROR(G1669/G1658,"-")</f>
        <v>-</v>
      </c>
      <c r="H1680" t="str">
        <f t="shared" si="1040"/>
        <v>-</v>
      </c>
      <c r="I1680" t="str">
        <f t="shared" si="1040"/>
        <v>-</v>
      </c>
      <c r="J1680" t="str">
        <f t="shared" si="1040"/>
        <v>-</v>
      </c>
      <c r="K1680" t="str">
        <f t="shared" si="1040"/>
        <v>-</v>
      </c>
    </row>
    <row r="1681" spans="2:11" x14ac:dyDescent="0.3">
      <c r="B1681" t="str">
        <f t="shared" si="1027"/>
        <v>SPS3</v>
      </c>
      <c r="C1681" t="str">
        <f t="shared" si="1018"/>
        <v>CH</v>
      </c>
      <c r="D1681" t="s">
        <v>1695</v>
      </c>
      <c r="E1681" t="s">
        <v>1230</v>
      </c>
      <c r="F1681" s="1">
        <f>IFERROR(F1670/F1659,"-")</f>
        <v>4.0530738867855139E-3</v>
      </c>
      <c r="G1681" s="1">
        <f t="shared" si="1040"/>
        <v>4.0530738867855104E-3</v>
      </c>
      <c r="H1681">
        <f t="shared" si="1040"/>
        <v>4.0530738867855113E-3</v>
      </c>
      <c r="I1681" t="str">
        <f t="shared" si="1040"/>
        <v>-</v>
      </c>
      <c r="J1681">
        <f t="shared" si="1040"/>
        <v>4.0530738867855104E-3</v>
      </c>
      <c r="K1681">
        <f t="shared" si="1040"/>
        <v>4.0530738867855104E-3</v>
      </c>
    </row>
    <row r="1682" spans="2:11" x14ac:dyDescent="0.3">
      <c r="B1682" t="str">
        <f t="shared" si="1027"/>
        <v>SPS3</v>
      </c>
      <c r="C1682" t="str">
        <f t="shared" si="1018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40"/>
        <v>0.98826978015124212</v>
      </c>
      <c r="H1682" s="4">
        <f t="shared" si="1040"/>
        <v>0.98826978015124789</v>
      </c>
      <c r="I1682" s="4">
        <f t="shared" si="1040"/>
        <v>0.98826978015125011</v>
      </c>
      <c r="J1682" s="4">
        <f t="shared" si="1040"/>
        <v>0.98826978015124889</v>
      </c>
      <c r="K1682" s="4">
        <f t="shared" si="1040"/>
        <v>0.98826978015124201</v>
      </c>
    </row>
    <row r="1683" spans="2:11" x14ac:dyDescent="0.3">
      <c r="B1683" s="2" t="str">
        <f t="shared" si="1027"/>
        <v>SPS3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34.741547399486223</v>
      </c>
      <c r="G1683" s="3">
        <f t="shared" ref="G1683:K1683" si="1041">SUM(G1684:G1686,G1689:G1691,-G1696)</f>
        <v>32.585850506716156</v>
      </c>
      <c r="H1683" s="3">
        <f t="shared" si="1041"/>
        <v>28.840461760313101</v>
      </c>
      <c r="I1683" s="3">
        <f t="shared" si="1041"/>
        <v>16.459594780612449</v>
      </c>
      <c r="J1683" s="3">
        <f t="shared" si="1041"/>
        <v>11.203421416759756</v>
      </c>
      <c r="K1683" s="3">
        <f t="shared" si="1041"/>
        <v>-9.9986961534984488E-7</v>
      </c>
    </row>
    <row r="1684" spans="2:11" x14ac:dyDescent="0.3">
      <c r="B1684" t="str">
        <f t="shared" si="1027"/>
        <v>SPS3</v>
      </c>
      <c r="C1684" t="str">
        <f t="shared" ref="C1684" si="1042">C1683</f>
        <v>CH</v>
      </c>
      <c r="D1684" t="s">
        <v>1703</v>
      </c>
      <c r="E1684" t="str">
        <f>E1683</f>
        <v>Mt/yr.</v>
      </c>
      <c r="F1684" s="1">
        <f>[1]Summary!B53+[1]Summary!B59</f>
        <v>2.5927101881488257</v>
      </c>
      <c r="G1684" s="1">
        <f>[1]Summary!C53+[1]Summary!C59</f>
        <v>2.3255852310582976</v>
      </c>
      <c r="H1684" s="1">
        <f>[1]Summary!D53+[1]Summary!D59</f>
        <v>2.3395641049166618</v>
      </c>
      <c r="I1684" s="1">
        <f>[1]Summary!E53+[1]Summary!E59</f>
        <v>2.2717817827137501</v>
      </c>
      <c r="J1684" s="1">
        <f>[1]Summary!F53+[1]Summary!F59</f>
        <v>2.083351366625529</v>
      </c>
      <c r="K1684" s="1">
        <f>[1]Summary!G53+[1]Summary!G59</f>
        <v>-0.50685704596354508</v>
      </c>
    </row>
    <row r="1685" spans="2:11" x14ac:dyDescent="0.3">
      <c r="B1685" t="str">
        <f t="shared" si="1027"/>
        <v>SPS3</v>
      </c>
      <c r="C1685" t="str">
        <f t="shared" ref="C1685:C1696" si="1043">C1684</f>
        <v>CH</v>
      </c>
      <c r="D1685" t="s">
        <v>1704</v>
      </c>
      <c r="E1685" t="str">
        <f t="shared" ref="E1685:E1696" si="1044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-1.3819276609422944</v>
      </c>
    </row>
    <row r="1686" spans="2:11" x14ac:dyDescent="0.3">
      <c r="B1686" t="str">
        <f t="shared" si="1027"/>
        <v>SPS3</v>
      </c>
      <c r="C1686" t="str">
        <f t="shared" si="1043"/>
        <v>CH</v>
      </c>
      <c r="D1686" t="s">
        <v>1705</v>
      </c>
      <c r="E1686" t="str">
        <f t="shared" si="1044"/>
        <v>Mt/yr.</v>
      </c>
      <c r="F1686" s="1">
        <f>[1]Summary!B55+[1]Summary!B60</f>
        <v>6.5012907703857961</v>
      </c>
      <c r="G1686" s="1">
        <f>[1]Summary!C55+[1]Summary!C60</f>
        <v>6.0171485092209478</v>
      </c>
      <c r="H1686" s="1">
        <f>[1]Summary!D55+[1]Summary!D60</f>
        <v>5.4765496696378086</v>
      </c>
      <c r="I1686" s="1">
        <f>[1]Summary!E55+[1]Summary!E60</f>
        <v>4.2008483845729323</v>
      </c>
      <c r="J1686" s="1">
        <f>[1]Summary!F55+[1]Summary!F60</f>
        <v>2.8917949328149826</v>
      </c>
      <c r="K1686" s="1">
        <f>[1]Summary!G55+[1]Summary!G60</f>
        <v>0.32514970581590186</v>
      </c>
    </row>
    <row r="1687" spans="2:11" x14ac:dyDescent="0.3">
      <c r="B1687" t="str">
        <f t="shared" si="1027"/>
        <v>SPS3</v>
      </c>
      <c r="C1687" t="str">
        <f t="shared" si="1043"/>
        <v>CH</v>
      </c>
      <c r="D1687" t="s">
        <v>1715</v>
      </c>
      <c r="E1687" t="str">
        <f t="shared" si="1044"/>
        <v>Mt/yr.</v>
      </c>
      <c r="F1687" s="1">
        <f>F1686-F1688</f>
        <v>4.4119439699011558</v>
      </c>
      <c r="G1687" s="1">
        <f t="shared" ref="G1687:K1687" si="1045">G1686-G1688</f>
        <v>3.9061353393468674</v>
      </c>
      <c r="H1687" s="1">
        <f t="shared" si="1045"/>
        <v>3.3742801985765487</v>
      </c>
      <c r="I1687" s="1">
        <f t="shared" si="1045"/>
        <v>2.1071904053142223</v>
      </c>
      <c r="J1687" s="1">
        <f t="shared" si="1045"/>
        <v>0.81476443155607425</v>
      </c>
      <c r="K1687" s="1">
        <f t="shared" si="1045"/>
        <v>-0.70669987745703811</v>
      </c>
    </row>
    <row r="1688" spans="2:11" x14ac:dyDescent="0.3">
      <c r="B1688" t="str">
        <f t="shared" si="1027"/>
        <v>SPS3</v>
      </c>
      <c r="C1688" t="str">
        <f t="shared" si="1043"/>
        <v>CH</v>
      </c>
      <c r="D1688" t="s">
        <v>1714</v>
      </c>
      <c r="E1688" t="str">
        <f t="shared" si="1044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2.09365797925871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2.0770305012589083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1.03184958327294</v>
      </c>
    </row>
    <row r="1689" spans="2:11" x14ac:dyDescent="0.3">
      <c r="B1689" t="str">
        <f t="shared" si="1027"/>
        <v>SPS3</v>
      </c>
      <c r="C1689" t="str">
        <f t="shared" si="1043"/>
        <v>CH</v>
      </c>
      <c r="D1689" t="s">
        <v>1706</v>
      </c>
      <c r="E1689" t="str">
        <f t="shared" si="1044"/>
        <v>Mt/yr.</v>
      </c>
      <c r="F1689" s="1">
        <f>[1]Summary!B56</f>
        <v>3.7989055847296798</v>
      </c>
      <c r="G1689" s="1">
        <f>[1]Summary!C56</f>
        <v>3.5959300588515197</v>
      </c>
      <c r="H1689" s="1">
        <f>[1]Summary!D56</f>
        <v>3.0777134546810903</v>
      </c>
      <c r="I1689" s="1">
        <f>[1]Summary!E56</f>
        <v>1.7290136040780288</v>
      </c>
      <c r="J1689" s="1">
        <f>[1]Summary!F56</f>
        <v>1.0029387716137721</v>
      </c>
      <c r="K1689" s="1">
        <f>[1]Summary!G56</f>
        <v>0.28057410012931283</v>
      </c>
    </row>
    <row r="1690" spans="2:11" x14ac:dyDescent="0.3">
      <c r="B1690" t="str">
        <f t="shared" si="1027"/>
        <v>SPS3</v>
      </c>
      <c r="C1690" t="str">
        <f t="shared" si="1043"/>
        <v>CH</v>
      </c>
      <c r="D1690" t="s">
        <v>1707</v>
      </c>
      <c r="E1690" t="str">
        <f t="shared" si="1044"/>
        <v>Mt/yr.</v>
      </c>
      <c r="F1690" s="1">
        <f>[1]Summary!B57</f>
        <v>7.1975658582995905</v>
      </c>
      <c r="G1690" s="1">
        <f>[1]Summary!C57</f>
        <v>6.5510913633158383</v>
      </c>
      <c r="H1690" s="1">
        <f>[1]Summary!D57</f>
        <v>6.0779723482413344</v>
      </c>
      <c r="I1690" s="1">
        <f>[1]Summary!E57</f>
        <v>3.2067407570758002</v>
      </c>
      <c r="J1690" s="1">
        <f>[1]Summary!F57</f>
        <v>1.1981526367460289</v>
      </c>
      <c r="K1690" s="1">
        <f>[1]Summary!G57</f>
        <v>0.7228938976311341</v>
      </c>
    </row>
    <row r="1691" spans="2:11" x14ac:dyDescent="0.3">
      <c r="B1691" t="str">
        <f t="shared" si="1027"/>
        <v>SPS3</v>
      </c>
      <c r="C1691" t="str">
        <f t="shared" si="1043"/>
        <v>CH</v>
      </c>
      <c r="D1691" t="s">
        <v>1708</v>
      </c>
      <c r="E1691" t="str">
        <f t="shared" si="1044"/>
        <v>Mt/yr.</v>
      </c>
      <c r="F1691" s="1">
        <f>[1]Summary!B58</f>
        <v>14.651074997922333</v>
      </c>
      <c r="G1691" s="1">
        <f>[1]Summary!C58</f>
        <v>14.096095344269557</v>
      </c>
      <c r="H1691" s="1">
        <f>[1]Summary!D58</f>
        <v>11.868662182836207</v>
      </c>
      <c r="I1691" s="1">
        <f>[1]Summary!E58</f>
        <v>5.0512102521719386</v>
      </c>
      <c r="J1691" s="1">
        <f>[1]Summary!F58</f>
        <v>4.027197090568289</v>
      </c>
      <c r="K1691" s="1">
        <f>[1]Summary!G58</f>
        <v>0.56055493657792821</v>
      </c>
    </row>
    <row r="1692" spans="2:11" x14ac:dyDescent="0.3">
      <c r="B1692" t="str">
        <f t="shared" si="1027"/>
        <v>SPS3</v>
      </c>
      <c r="C1692" t="str">
        <f t="shared" si="1043"/>
        <v>CH</v>
      </c>
      <c r="D1692" t="s">
        <v>1709</v>
      </c>
      <c r="E1692" t="str">
        <f t="shared" si="1044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0.21113730650712537</v>
      </c>
      <c r="K1692" s="1">
        <f>-[1]Summary!G59</f>
        <v>2.8242662446368003</v>
      </c>
    </row>
    <row r="1693" spans="2:11" x14ac:dyDescent="0.3">
      <c r="B1693" t="str">
        <f t="shared" si="1027"/>
        <v>SPS3</v>
      </c>
      <c r="C1693" t="str">
        <f t="shared" si="1043"/>
        <v>CH</v>
      </c>
      <c r="D1693" t="s">
        <v>1710</v>
      </c>
      <c r="E1693" t="str">
        <f t="shared" si="1044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0.67018712125217461</v>
      </c>
      <c r="K1693" s="1">
        <f>-[1]Summary!G60</f>
        <v>2.7619393622810384</v>
      </c>
    </row>
    <row r="1694" spans="2:11" x14ac:dyDescent="0.3">
      <c r="B1694" t="str">
        <f t="shared" si="1027"/>
        <v>SPS3</v>
      </c>
      <c r="C1694" t="str">
        <f t="shared" si="1043"/>
        <v>CH</v>
      </c>
      <c r="D1694" t="s">
        <v>1711</v>
      </c>
      <c r="E1694" t="str">
        <f t="shared" si="1044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0.97128997954108798</v>
      </c>
    </row>
    <row r="1695" spans="2:11" x14ac:dyDescent="0.3">
      <c r="B1695" t="str">
        <f t="shared" si="1027"/>
        <v>SPS3</v>
      </c>
      <c r="C1695" t="str">
        <f t="shared" si="1043"/>
        <v>CH</v>
      </c>
      <c r="D1695" t="s">
        <v>1712</v>
      </c>
      <c r="E1695" t="str">
        <f t="shared" si="1044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6.4850421857413584E-4</v>
      </c>
      <c r="K1695" s="1">
        <f>-[1]Summary!G62</f>
        <v>0.41063768140120627</v>
      </c>
    </row>
    <row r="1696" spans="2:11" x14ac:dyDescent="0.3">
      <c r="B1696" t="str">
        <f t="shared" si="1027"/>
        <v>SPS3</v>
      </c>
      <c r="C1696" t="str">
        <f t="shared" si="1043"/>
        <v>CH</v>
      </c>
      <c r="D1696" t="s">
        <v>1713</v>
      </c>
      <c r="E1696" t="str">
        <f t="shared" si="1044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1.3381608844521778E-5</v>
      </c>
      <c r="K1696" s="1">
        <f>-[1]Summary!G63</f>
        <v>3.8893311805301615E-4</v>
      </c>
    </row>
    <row r="1697" spans="2:11" x14ac:dyDescent="0.3">
      <c r="B1697" s="2" t="str">
        <f t="shared" si="1027"/>
        <v>SPS3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046">SUM(G1698:G1700)</f>
        <v>0</v>
      </c>
      <c r="H1697" s="3">
        <f t="shared" si="1046"/>
        <v>0</v>
      </c>
      <c r="I1697" s="3">
        <f t="shared" si="1046"/>
        <v>0</v>
      </c>
      <c r="J1697" s="3">
        <f t="shared" si="1046"/>
        <v>0.8817693201199579</v>
      </c>
      <c r="K1697" s="3">
        <f t="shared" si="1046"/>
        <v>6.9684018093715636</v>
      </c>
    </row>
    <row r="1698" spans="2:11" x14ac:dyDescent="0.3">
      <c r="B1698" t="str">
        <f t="shared" si="1027"/>
        <v>SPS3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</v>
      </c>
      <c r="K1698" s="1">
        <f>[1]Summary!C$77</f>
        <v>0</v>
      </c>
    </row>
    <row r="1699" spans="2:11" x14ac:dyDescent="0.3">
      <c r="B1699" t="str">
        <f t="shared" si="1027"/>
        <v>SPS3</v>
      </c>
      <c r="C1699" t="str">
        <f t="shared" ref="C1699:C1700" si="1047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0.8817693201199579</v>
      </c>
      <c r="K1699" s="1">
        <f>[1]Summary!C$78</f>
        <v>0.56307725461526581</v>
      </c>
    </row>
    <row r="1700" spans="2:11" x14ac:dyDescent="0.3">
      <c r="B1700" t="str">
        <f t="shared" si="1027"/>
        <v>SPS3</v>
      </c>
      <c r="C1700" t="str">
        <f t="shared" si="1047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</v>
      </c>
      <c r="K1700" s="1">
        <f>[1]Summary!C$79</f>
        <v>6.405324554756298</v>
      </c>
    </row>
    <row r="1701" spans="2:11" x14ac:dyDescent="0.3">
      <c r="B1701" s="2" t="str">
        <f t="shared" si="1027"/>
        <v>SPS3</v>
      </c>
      <c r="C1701" s="2" t="str">
        <f t="shared" ref="C1701:C1706" si="1048">C1700</f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3">
      <c r="B1702" t="str">
        <f t="shared" si="1027"/>
        <v>SPS3</v>
      </c>
      <c r="C1702" t="str">
        <f t="shared" si="1048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049">SUM(G1703:G1704)</f>
        <v>0</v>
      </c>
      <c r="H1702" s="1">
        <f t="shared" si="1049"/>
        <v>0</v>
      </c>
      <c r="I1702" s="1">
        <f t="shared" si="1049"/>
        <v>0</v>
      </c>
      <c r="J1702" s="1">
        <f t="shared" si="1049"/>
        <v>1.0753256121530035E-4</v>
      </c>
      <c r="K1702" s="1">
        <f t="shared" si="1049"/>
        <v>2.8328995685596055E-3</v>
      </c>
    </row>
    <row r="1703" spans="2:11" x14ac:dyDescent="0.3">
      <c r="B1703" t="str">
        <f t="shared" si="1027"/>
        <v>SPS3</v>
      </c>
      <c r="C1703" t="str">
        <f t="shared" si="1048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1.8555830931070208E-5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3.5392913742824511E-4</v>
      </c>
    </row>
    <row r="1704" spans="2:11" x14ac:dyDescent="0.3">
      <c r="B1704" t="str">
        <f t="shared" si="1027"/>
        <v>SPS3</v>
      </c>
      <c r="C1704" t="str">
        <f t="shared" si="1048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8.8976730284230139E-5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2.4789704311313603E-3</v>
      </c>
    </row>
    <row r="1705" spans="2:11" x14ac:dyDescent="0.3">
      <c r="B1705" t="str">
        <f t="shared" si="1027"/>
        <v>SPS3</v>
      </c>
      <c r="C1705" t="str">
        <f t="shared" si="1048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050">G1696</f>
        <v>0</v>
      </c>
      <c r="H1705" s="1">
        <f t="shared" si="1050"/>
        <v>0</v>
      </c>
      <c r="I1705" s="1">
        <f t="shared" si="1050"/>
        <v>0</v>
      </c>
      <c r="J1705" s="1">
        <f t="shared" si="1050"/>
        <v>1.3381608844521778E-5</v>
      </c>
      <c r="K1705" s="1">
        <f t="shared" si="1050"/>
        <v>3.8893311805301615E-4</v>
      </c>
    </row>
    <row r="1706" spans="2:11" x14ac:dyDescent="0.3">
      <c r="B1706" s="2" t="str">
        <f t="shared" si="1027"/>
        <v>SPS3</v>
      </c>
      <c r="C1706" s="2" t="str">
        <f t="shared" si="1048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964.39707582225003</v>
      </c>
      <c r="G1706" s="3">
        <f t="shared" ref="G1706:K1706" si="1051">SUM(G1707:G1708,G1725,G1734:G1735,G1736,G1737,G1742,G1745,,G1750:G1753,G1746)</f>
        <v>962.5479280731422</v>
      </c>
      <c r="H1706" s="3">
        <f t="shared" si="1051"/>
        <v>948.18614117948619</v>
      </c>
      <c r="I1706" s="3">
        <f t="shared" si="1051"/>
        <v>763.5681679769782</v>
      </c>
      <c r="J1706" s="3">
        <f t="shared" si="1051"/>
        <v>654.99697973499428</v>
      </c>
      <c r="K1706" s="3">
        <f t="shared" si="1051"/>
        <v>539.02965808454996</v>
      </c>
    </row>
    <row r="1707" spans="2:11" x14ac:dyDescent="0.3">
      <c r="B1707" t="str">
        <f t="shared" si="1027"/>
        <v>SPS3</v>
      </c>
      <c r="C1707" t="str">
        <f t="shared" ref="C1707" si="1052">C1706</f>
        <v>CH</v>
      </c>
      <c r="D1707" t="s">
        <v>1739</v>
      </c>
      <c r="E1707" t="str">
        <f>E1706</f>
        <v>PJ/yr.</v>
      </c>
      <c r="F1707" s="1">
        <f>F21</f>
        <v>3.6600175861612629</v>
      </c>
      <c r="G1707" s="1">
        <f t="shared" ref="G1707:K1707" si="1053">G21</f>
        <v>3.5647162176880545</v>
      </c>
      <c r="H1707" s="1">
        <f t="shared" si="1053"/>
        <v>6.5262945765768937E-2</v>
      </c>
      <c r="I1707" s="1">
        <f t="shared" si="1053"/>
        <v>7.8442736175054533E-6</v>
      </c>
      <c r="J1707" s="1">
        <f t="shared" si="1053"/>
        <v>5.665934434187298E-4</v>
      </c>
      <c r="K1707" s="1">
        <f t="shared" si="1053"/>
        <v>1.3661270687521166E-3</v>
      </c>
    </row>
    <row r="1708" spans="2:11" x14ac:dyDescent="0.3">
      <c r="B1708" t="str">
        <f t="shared" si="1027"/>
        <v>SPS3</v>
      </c>
      <c r="C1708" t="str">
        <f t="shared" ref="C1708:C1760" si="1054">C1707</f>
        <v>CH</v>
      </c>
      <c r="D1708" t="s">
        <v>1740</v>
      </c>
      <c r="E1708" t="str">
        <f t="shared" ref="E1708:E1736" si="1055">E1707</f>
        <v>PJ/yr.</v>
      </c>
      <c r="F1708" s="1">
        <f t="shared" ref="F1708:K1734" si="1056">F22</f>
        <v>312.37982794559923</v>
      </c>
      <c r="G1708" s="1">
        <f t="shared" si="1056"/>
        <v>289.57768992562637</v>
      </c>
      <c r="H1708" s="1">
        <f t="shared" si="1056"/>
        <v>248.36247677352281</v>
      </c>
      <c r="I1708" s="1">
        <f t="shared" si="1056"/>
        <v>114.36437609350277</v>
      </c>
      <c r="J1708" s="1">
        <f t="shared" si="1056"/>
        <v>60.568024585069587</v>
      </c>
      <c r="K1708" s="1">
        <f t="shared" si="1056"/>
        <v>22.571940951759423</v>
      </c>
    </row>
    <row r="1709" spans="2:11" x14ac:dyDescent="0.3">
      <c r="B1709" t="str">
        <f t="shared" si="1027"/>
        <v>SPS3</v>
      </c>
      <c r="C1709" t="str">
        <f t="shared" si="1054"/>
        <v>CH</v>
      </c>
      <c r="D1709" t="s">
        <v>1741</v>
      </c>
      <c r="E1709" t="str">
        <f t="shared" si="1055"/>
        <v>PJ/yr.</v>
      </c>
      <c r="F1709" s="1">
        <f t="shared" si="1056"/>
        <v>305.47608189215015</v>
      </c>
      <c r="G1709" s="1">
        <f t="shared" si="1056"/>
        <v>282.62846964504945</v>
      </c>
      <c r="H1709" s="1">
        <f t="shared" si="1056"/>
        <v>242.47792816206365</v>
      </c>
      <c r="I1709" s="1">
        <f t="shared" si="1056"/>
        <v>107.45920186558513</v>
      </c>
      <c r="J1709" s="1">
        <f t="shared" si="1056"/>
        <v>52.156017254704537</v>
      </c>
      <c r="K1709" s="1">
        <f t="shared" si="1056"/>
        <v>0</v>
      </c>
    </row>
    <row r="1710" spans="2:11" x14ac:dyDescent="0.3">
      <c r="B1710" t="str">
        <f t="shared" si="1027"/>
        <v>SPS3</v>
      </c>
      <c r="C1710" t="str">
        <f t="shared" si="1054"/>
        <v>CH</v>
      </c>
      <c r="D1710" t="s">
        <v>1742</v>
      </c>
      <c r="E1710" t="str">
        <f t="shared" si="1055"/>
        <v>PJ/yr.</v>
      </c>
      <c r="F1710" s="1">
        <f t="shared" si="1056"/>
        <v>101.95239433939248</v>
      </c>
      <c r="G1710" s="1">
        <f t="shared" si="1056"/>
        <v>89.700148831159126</v>
      </c>
      <c r="H1710" s="1">
        <f t="shared" si="1056"/>
        <v>81.188661816851578</v>
      </c>
      <c r="I1710" s="1">
        <f t="shared" si="1056"/>
        <v>38.710766206617549</v>
      </c>
      <c r="J1710" s="1">
        <f t="shared" si="1056"/>
        <v>9.1960974315439863</v>
      </c>
      <c r="K1710" s="1">
        <f t="shared" si="1056"/>
        <v>0</v>
      </c>
    </row>
    <row r="1711" spans="2:11" x14ac:dyDescent="0.3">
      <c r="B1711" t="str">
        <f t="shared" si="1027"/>
        <v>SPS3</v>
      </c>
      <c r="C1711" t="str">
        <f t="shared" si="1054"/>
        <v>CH</v>
      </c>
      <c r="D1711" t="s">
        <v>1743</v>
      </c>
      <c r="E1711" t="str">
        <f t="shared" si="1055"/>
        <v>PJ/yr.</v>
      </c>
      <c r="F1711" s="1">
        <f t="shared" si="1056"/>
        <v>2.7763810342632405</v>
      </c>
      <c r="G1711" s="1">
        <f t="shared" si="1056"/>
        <v>1.2873099774094718</v>
      </c>
      <c r="H1711" s="1">
        <f t="shared" si="1056"/>
        <v>2.1630920397363834E-2</v>
      </c>
      <c r="I1711" s="1">
        <f t="shared" si="1056"/>
        <v>7.4373463029334637E-6</v>
      </c>
      <c r="J1711" s="1">
        <f t="shared" si="1056"/>
        <v>6.2000777070102351E-4</v>
      </c>
      <c r="K1711" s="1">
        <f t="shared" si="1056"/>
        <v>0</v>
      </c>
    </row>
    <row r="1712" spans="2:11" x14ac:dyDescent="0.3">
      <c r="B1712" t="str">
        <f t="shared" si="1027"/>
        <v>SPS3</v>
      </c>
      <c r="C1712" t="str">
        <f t="shared" si="1054"/>
        <v>CH</v>
      </c>
      <c r="D1712" t="s">
        <v>1744</v>
      </c>
      <c r="E1712" t="str">
        <f t="shared" si="1055"/>
        <v>PJ/yr.</v>
      </c>
      <c r="F1712" s="1">
        <f t="shared" si="1056"/>
        <v>121.01045938029928</v>
      </c>
      <c r="G1712" s="1">
        <f t="shared" si="1056"/>
        <v>110.83932931038892</v>
      </c>
      <c r="H1712" s="1">
        <f t="shared" si="1056"/>
        <v>87.142714359806604</v>
      </c>
      <c r="I1712" s="1">
        <f t="shared" si="1056"/>
        <v>41.646626292315752</v>
      </c>
      <c r="J1712" s="1">
        <f t="shared" si="1056"/>
        <v>40.886916041454874</v>
      </c>
      <c r="K1712" s="1">
        <f t="shared" si="1056"/>
        <v>0</v>
      </c>
    </row>
    <row r="1713" spans="2:11" x14ac:dyDescent="0.3">
      <c r="B1713" t="str">
        <f t="shared" si="1027"/>
        <v>SPS3</v>
      </c>
      <c r="C1713" t="str">
        <f t="shared" si="1054"/>
        <v>CH</v>
      </c>
      <c r="D1713" t="s">
        <v>1745</v>
      </c>
      <c r="E1713" t="str">
        <f t="shared" si="1055"/>
        <v>PJ/yr.</v>
      </c>
      <c r="F1713" s="1">
        <f t="shared" si="1056"/>
        <v>78.627461771816002</v>
      </c>
      <c r="G1713" s="1">
        <f t="shared" si="1056"/>
        <v>79.396466642538186</v>
      </c>
      <c r="H1713" s="1">
        <f t="shared" si="1056"/>
        <v>72.275961905692427</v>
      </c>
      <c r="I1713" s="1">
        <f t="shared" si="1056"/>
        <v>25.066860689665642</v>
      </c>
      <c r="J1713" s="1">
        <f t="shared" si="1056"/>
        <v>0.59114213212551237</v>
      </c>
      <c r="K1713" s="1">
        <f t="shared" si="1056"/>
        <v>0</v>
      </c>
    </row>
    <row r="1714" spans="2:11" x14ac:dyDescent="0.3">
      <c r="B1714" t="str">
        <f t="shared" si="1027"/>
        <v>SPS3</v>
      </c>
      <c r="C1714" t="str">
        <f t="shared" si="1054"/>
        <v>CH</v>
      </c>
      <c r="D1714" t="s">
        <v>1746</v>
      </c>
      <c r="E1714" t="str">
        <f t="shared" si="1055"/>
        <v>PJ/yr.</v>
      </c>
      <c r="F1714" s="1">
        <f t="shared" si="1056"/>
        <v>1.1093853663791744</v>
      </c>
      <c r="G1714" s="1">
        <f t="shared" si="1056"/>
        <v>1.4052148835537817</v>
      </c>
      <c r="H1714" s="1">
        <f t="shared" si="1056"/>
        <v>1.8489591593156731</v>
      </c>
      <c r="I1714" s="1">
        <f t="shared" si="1056"/>
        <v>2.0349412396398781</v>
      </c>
      <c r="J1714" s="1">
        <f t="shared" si="1056"/>
        <v>1.4812416418094601</v>
      </c>
      <c r="K1714" s="1">
        <f t="shared" si="1056"/>
        <v>0</v>
      </c>
    </row>
    <row r="1715" spans="2:11" x14ac:dyDescent="0.3">
      <c r="B1715" t="str">
        <f t="shared" si="1027"/>
        <v>SPS3</v>
      </c>
      <c r="C1715" t="str">
        <f t="shared" si="1054"/>
        <v>CH</v>
      </c>
      <c r="D1715" t="s">
        <v>1747</v>
      </c>
      <c r="E1715" t="str">
        <f t="shared" si="1055"/>
        <v>PJ/yr.</v>
      </c>
      <c r="F1715" s="1">
        <f t="shared" si="1056"/>
        <v>6.9037460534490753</v>
      </c>
      <c r="G1715" s="1">
        <f t="shared" si="1056"/>
        <v>6.9492202805769381</v>
      </c>
      <c r="H1715" s="1">
        <f t="shared" si="1056"/>
        <v>5.8845486114591612</v>
      </c>
      <c r="I1715" s="1">
        <f t="shared" si="1056"/>
        <v>6.9051742279176427</v>
      </c>
      <c r="J1715" s="1">
        <f t="shared" si="1056"/>
        <v>8.41200733036505</v>
      </c>
      <c r="K1715" s="1">
        <f t="shared" si="1056"/>
        <v>22.571940951759423</v>
      </c>
    </row>
    <row r="1716" spans="2:11" x14ac:dyDescent="0.3">
      <c r="B1716" t="str">
        <f t="shared" ref="B1716:B1779" si="1057">B1715</f>
        <v>SPS3</v>
      </c>
      <c r="C1716" t="str">
        <f t="shared" si="1054"/>
        <v>CH</v>
      </c>
      <c r="D1716" t="s">
        <v>1748</v>
      </c>
      <c r="E1716" t="str">
        <f t="shared" si="1055"/>
        <v>PJ/yr.</v>
      </c>
      <c r="F1716" s="1">
        <f t="shared" si="1056"/>
        <v>2.4695931189728011</v>
      </c>
      <c r="G1716" s="1">
        <f t="shared" si="1056"/>
        <v>2.3526450578682954</v>
      </c>
      <c r="H1716" s="1">
        <f t="shared" si="1056"/>
        <v>2.9409148245411587</v>
      </c>
      <c r="I1716" s="1">
        <f t="shared" si="1056"/>
        <v>3.0273288905088624</v>
      </c>
      <c r="J1716" s="1">
        <f t="shared" si="1056"/>
        <v>2.8301914109013153</v>
      </c>
      <c r="K1716" s="1">
        <f t="shared" si="1056"/>
        <v>18.765198023936772</v>
      </c>
    </row>
    <row r="1717" spans="2:11" x14ac:dyDescent="0.3">
      <c r="B1717" t="str">
        <f t="shared" si="1057"/>
        <v>SPS3</v>
      </c>
      <c r="C1717" t="str">
        <f t="shared" si="1054"/>
        <v>CH</v>
      </c>
      <c r="D1717" t="s">
        <v>1749</v>
      </c>
      <c r="E1717" t="str">
        <f t="shared" si="1055"/>
        <v>PJ/yr.</v>
      </c>
      <c r="F1717" s="1">
        <f t="shared" si="1056"/>
        <v>4.4341529344762742</v>
      </c>
      <c r="G1717" s="1">
        <f t="shared" si="1056"/>
        <v>4.5965752227086423</v>
      </c>
      <c r="H1717" s="1">
        <f t="shared" si="1056"/>
        <v>2.9436337869180029</v>
      </c>
      <c r="I1717" s="1">
        <f t="shared" si="1056"/>
        <v>3.8778453374087807</v>
      </c>
      <c r="J1717" s="1">
        <f t="shared" si="1056"/>
        <v>5.5818159194637351</v>
      </c>
      <c r="K1717" s="1">
        <f t="shared" si="1056"/>
        <v>3.8067429278226492</v>
      </c>
    </row>
    <row r="1718" spans="2:11" x14ac:dyDescent="0.3">
      <c r="B1718" t="str">
        <f t="shared" si="1057"/>
        <v>SPS3</v>
      </c>
      <c r="C1718" t="str">
        <f t="shared" si="1054"/>
        <v>CH</v>
      </c>
      <c r="D1718" t="s">
        <v>1750</v>
      </c>
      <c r="E1718" t="str">
        <f t="shared" si="1055"/>
        <v>PJ/yr.</v>
      </c>
      <c r="F1718" s="1">
        <f t="shared" si="1056"/>
        <v>6.9037460534490753</v>
      </c>
      <c r="G1718" s="1">
        <f t="shared" si="1056"/>
        <v>6.9492202805769381</v>
      </c>
      <c r="H1718" s="1">
        <f t="shared" si="1056"/>
        <v>5.8845486114591612</v>
      </c>
      <c r="I1718" s="1">
        <f t="shared" si="1056"/>
        <v>6.9051742279176427</v>
      </c>
      <c r="J1718" s="1">
        <f t="shared" si="1056"/>
        <v>7.426766633609958</v>
      </c>
      <c r="K1718" s="1">
        <f t="shared" si="1056"/>
        <v>6.8340718183315117</v>
      </c>
    </row>
    <row r="1719" spans="2:11" x14ac:dyDescent="0.3">
      <c r="B1719" t="str">
        <f t="shared" si="1057"/>
        <v>SPS3</v>
      </c>
      <c r="C1719" t="str">
        <f t="shared" si="1054"/>
        <v>CH</v>
      </c>
      <c r="D1719" t="s">
        <v>1751</v>
      </c>
      <c r="E1719" t="str">
        <f t="shared" si="1055"/>
        <v>PJ/yr.</v>
      </c>
      <c r="F1719" s="1">
        <f t="shared" si="1056"/>
        <v>2.4695931189728011</v>
      </c>
      <c r="G1719" s="1">
        <f t="shared" si="1056"/>
        <v>2.3526450578682954</v>
      </c>
      <c r="H1719" s="1">
        <f t="shared" si="1056"/>
        <v>2.9409148245411587</v>
      </c>
      <c r="I1719" s="1">
        <f t="shared" si="1056"/>
        <v>3.0273288905088624</v>
      </c>
      <c r="J1719" s="1">
        <f t="shared" si="1056"/>
        <v>2.8301914109013153</v>
      </c>
      <c r="K1719" s="1">
        <f t="shared" si="1056"/>
        <v>3.0273288905088624</v>
      </c>
    </row>
    <row r="1720" spans="2:11" x14ac:dyDescent="0.3">
      <c r="B1720" t="str">
        <f t="shared" si="1057"/>
        <v>SPS3</v>
      </c>
      <c r="C1720" t="str">
        <f t="shared" si="1054"/>
        <v>CH</v>
      </c>
      <c r="D1720" t="s">
        <v>1752</v>
      </c>
      <c r="E1720" t="str">
        <f t="shared" si="1055"/>
        <v>PJ/yr.</v>
      </c>
      <c r="F1720" s="1">
        <f t="shared" si="1056"/>
        <v>4.4341529344762742</v>
      </c>
      <c r="G1720" s="1">
        <f t="shared" si="1056"/>
        <v>4.5965752227086423</v>
      </c>
      <c r="H1720" s="1">
        <f t="shared" si="1056"/>
        <v>2.9436337869180029</v>
      </c>
      <c r="I1720" s="1">
        <f t="shared" si="1056"/>
        <v>3.8778453374087807</v>
      </c>
      <c r="J1720" s="1">
        <f t="shared" si="1056"/>
        <v>4.5965752227086423</v>
      </c>
      <c r="K1720" s="1">
        <f t="shared" si="1056"/>
        <v>3.8067429278226492</v>
      </c>
    </row>
    <row r="1721" spans="2:11" x14ac:dyDescent="0.3">
      <c r="B1721" t="str">
        <f t="shared" si="1057"/>
        <v>SPS3</v>
      </c>
      <c r="C1721" t="str">
        <f t="shared" si="1054"/>
        <v>CH</v>
      </c>
      <c r="D1721" t="s">
        <v>1753</v>
      </c>
      <c r="E1721" t="str">
        <f t="shared" si="1055"/>
        <v>PJ/yr.</v>
      </c>
      <c r="F1721" s="1">
        <f t="shared" si="1056"/>
        <v>0</v>
      </c>
      <c r="G1721" s="1">
        <f t="shared" si="1056"/>
        <v>0</v>
      </c>
      <c r="H1721" s="1">
        <f t="shared" si="1056"/>
        <v>0</v>
      </c>
      <c r="I1721" s="1">
        <f t="shared" si="1056"/>
        <v>0</v>
      </c>
      <c r="J1721" s="1">
        <f t="shared" si="1056"/>
        <v>0.98524069675509285</v>
      </c>
      <c r="K1721" s="1">
        <f t="shared" si="1056"/>
        <v>15.73786913342791</v>
      </c>
    </row>
    <row r="1722" spans="2:11" x14ac:dyDescent="0.3">
      <c r="B1722" t="str">
        <f t="shared" si="1057"/>
        <v>SPS3</v>
      </c>
      <c r="C1722" t="str">
        <f t="shared" si="1054"/>
        <v>CH</v>
      </c>
      <c r="D1722" t="s">
        <v>1754</v>
      </c>
      <c r="E1722" t="str">
        <f t="shared" si="1055"/>
        <v>PJ/yr.</v>
      </c>
      <c r="F1722" s="1">
        <f t="shared" si="1056"/>
        <v>0</v>
      </c>
      <c r="G1722" s="1">
        <f t="shared" si="1056"/>
        <v>0</v>
      </c>
      <c r="H1722" s="1">
        <f t="shared" si="1056"/>
        <v>0</v>
      </c>
      <c r="I1722" s="1">
        <f t="shared" si="1056"/>
        <v>0</v>
      </c>
      <c r="J1722" s="1">
        <f t="shared" si="1056"/>
        <v>0</v>
      </c>
      <c r="K1722" s="1">
        <f t="shared" si="1056"/>
        <v>15.73786913342791</v>
      </c>
    </row>
    <row r="1723" spans="2:11" x14ac:dyDescent="0.3">
      <c r="B1723" t="str">
        <f t="shared" si="1057"/>
        <v>SPS3</v>
      </c>
      <c r="C1723" t="str">
        <f t="shared" si="1054"/>
        <v>CH</v>
      </c>
      <c r="D1723" t="s">
        <v>1755</v>
      </c>
      <c r="E1723" t="str">
        <f t="shared" si="1055"/>
        <v>PJ/yr.</v>
      </c>
      <c r="F1723" s="1">
        <f t="shared" si="1056"/>
        <v>0</v>
      </c>
      <c r="G1723" s="1">
        <f t="shared" si="1056"/>
        <v>0</v>
      </c>
      <c r="H1723" s="1">
        <f t="shared" si="1056"/>
        <v>0</v>
      </c>
      <c r="I1723" s="1">
        <f t="shared" si="1056"/>
        <v>0</v>
      </c>
      <c r="J1723" s="1">
        <f t="shared" si="1056"/>
        <v>0.98524069675509285</v>
      </c>
      <c r="K1723" s="1">
        <f t="shared" si="1056"/>
        <v>0</v>
      </c>
    </row>
    <row r="1724" spans="2:11" x14ac:dyDescent="0.3">
      <c r="B1724" t="str">
        <f t="shared" si="1057"/>
        <v>SPS3</v>
      </c>
      <c r="C1724" t="str">
        <f t="shared" si="1054"/>
        <v>CH</v>
      </c>
      <c r="D1724" t="s">
        <v>1756</v>
      </c>
      <c r="E1724" t="str">
        <f t="shared" si="1055"/>
        <v>PJ/yr.</v>
      </c>
      <c r="F1724" s="1">
        <f t="shared" si="1056"/>
        <v>0</v>
      </c>
      <c r="G1724" s="1">
        <f t="shared" si="1056"/>
        <v>0</v>
      </c>
      <c r="H1724" s="1">
        <f t="shared" si="1056"/>
        <v>0</v>
      </c>
      <c r="I1724" s="1">
        <f t="shared" si="1056"/>
        <v>0</v>
      </c>
      <c r="J1724" s="1">
        <f t="shared" si="1056"/>
        <v>0</v>
      </c>
      <c r="K1724" s="1">
        <f t="shared" si="1056"/>
        <v>0</v>
      </c>
    </row>
    <row r="1725" spans="2:11" x14ac:dyDescent="0.3">
      <c r="B1725" t="str">
        <f t="shared" si="1057"/>
        <v>SPS3</v>
      </c>
      <c r="C1725" t="str">
        <f t="shared" si="1054"/>
        <v>CH</v>
      </c>
      <c r="D1725" t="s">
        <v>1757</v>
      </c>
      <c r="E1725" t="str">
        <f t="shared" si="1055"/>
        <v>PJ/yr.</v>
      </c>
      <c r="F1725" s="1">
        <f t="shared" si="1056"/>
        <v>117.87070658439573</v>
      </c>
      <c r="G1725" s="1">
        <f t="shared" si="1056"/>
        <v>107.23632024422901</v>
      </c>
      <c r="H1725" s="1">
        <f t="shared" si="1056"/>
        <v>100.43242457220428</v>
      </c>
      <c r="I1725" s="1">
        <f t="shared" si="1056"/>
        <v>55.856844760266526</v>
      </c>
      <c r="J1725" s="1">
        <f t="shared" si="1056"/>
        <v>36.182465275036016</v>
      </c>
      <c r="K1725" s="1">
        <f t="shared" si="1056"/>
        <v>20.564927792325463</v>
      </c>
    </row>
    <row r="1726" spans="2:11" x14ac:dyDescent="0.3">
      <c r="B1726" t="str">
        <f t="shared" si="1057"/>
        <v>SPS3</v>
      </c>
      <c r="C1726" t="str">
        <f t="shared" si="1054"/>
        <v>CH</v>
      </c>
      <c r="D1726" t="s">
        <v>1758</v>
      </c>
      <c r="E1726" t="str">
        <f t="shared" si="1055"/>
        <v>PJ/yr.</v>
      </c>
      <c r="F1726" s="1">
        <f t="shared" si="1056"/>
        <v>117.87070658439573</v>
      </c>
      <c r="G1726" s="1">
        <f t="shared" si="1056"/>
        <v>106.71999745754435</v>
      </c>
      <c r="H1726" s="1">
        <f t="shared" si="1056"/>
        <v>99.266390913362955</v>
      </c>
      <c r="I1726" s="1">
        <f t="shared" si="1056"/>
        <v>55.856828356084314</v>
      </c>
      <c r="J1726" s="1">
        <f t="shared" si="1056"/>
        <v>36.155080724317159</v>
      </c>
      <c r="K1726" s="1">
        <f t="shared" si="1056"/>
        <v>18.434327611882562</v>
      </c>
    </row>
    <row r="1727" spans="2:11" x14ac:dyDescent="0.3">
      <c r="B1727" t="str">
        <f t="shared" si="1057"/>
        <v>SPS3</v>
      </c>
      <c r="C1727" t="str">
        <f t="shared" si="1054"/>
        <v>CH</v>
      </c>
      <c r="D1727" t="s">
        <v>1759</v>
      </c>
      <c r="E1727" t="str">
        <f t="shared" si="1055"/>
        <v>PJ/yr.</v>
      </c>
      <c r="F1727" s="1">
        <f t="shared" si="1056"/>
        <v>117.87070658439573</v>
      </c>
      <c r="G1727" s="1">
        <f t="shared" si="1056"/>
        <v>106.71999745754435</v>
      </c>
      <c r="H1727" s="1">
        <f t="shared" si="1056"/>
        <v>99.266390913362955</v>
      </c>
      <c r="I1727" s="1">
        <f t="shared" si="1056"/>
        <v>55.838959164653517</v>
      </c>
      <c r="J1727" s="1">
        <f t="shared" si="1056"/>
        <v>36.130136143255235</v>
      </c>
      <c r="K1727" s="1">
        <f t="shared" si="1056"/>
        <v>18.428925202267486</v>
      </c>
    </row>
    <row r="1728" spans="2:11" x14ac:dyDescent="0.3">
      <c r="B1728" t="str">
        <f t="shared" si="1057"/>
        <v>SPS3</v>
      </c>
      <c r="C1728" t="str">
        <f t="shared" si="1054"/>
        <v>CH</v>
      </c>
      <c r="D1728" t="s">
        <v>1760</v>
      </c>
      <c r="E1728" t="str">
        <f t="shared" si="1055"/>
        <v>PJ/yr.</v>
      </c>
      <c r="F1728" s="1">
        <f t="shared" si="1056"/>
        <v>0</v>
      </c>
      <c r="G1728" s="1">
        <f t="shared" si="1056"/>
        <v>0</v>
      </c>
      <c r="H1728" s="1">
        <f t="shared" si="1056"/>
        <v>0</v>
      </c>
      <c r="I1728" s="1">
        <f t="shared" si="1056"/>
        <v>1.7869191430800496E-2</v>
      </c>
      <c r="J1728" s="1">
        <f t="shared" si="1056"/>
        <v>2.4944581061925073E-2</v>
      </c>
      <c r="K1728" s="1">
        <f t="shared" si="1056"/>
        <v>5.4024096150746374E-3</v>
      </c>
    </row>
    <row r="1729" spans="2:11" x14ac:dyDescent="0.3">
      <c r="B1729" t="str">
        <f t="shared" si="1057"/>
        <v>SPS3</v>
      </c>
      <c r="C1729" t="str">
        <f t="shared" si="1054"/>
        <v>CH</v>
      </c>
      <c r="D1729" t="s">
        <v>1761</v>
      </c>
      <c r="E1729" t="str">
        <f t="shared" si="1055"/>
        <v>PJ/yr.</v>
      </c>
      <c r="F1729" s="1">
        <f t="shared" si="1056"/>
        <v>0</v>
      </c>
      <c r="G1729" s="1">
        <f t="shared" si="1056"/>
        <v>0.51632278668465426</v>
      </c>
      <c r="H1729" s="1">
        <f t="shared" si="1056"/>
        <v>1.1660336588413265</v>
      </c>
      <c r="I1729" s="1">
        <f t="shared" si="1056"/>
        <v>1.6404182215096907E-5</v>
      </c>
      <c r="J1729" s="1">
        <f t="shared" si="1056"/>
        <v>2.7384550718853842E-2</v>
      </c>
      <c r="K1729" s="1">
        <f t="shared" si="1056"/>
        <v>2.1306001804428991</v>
      </c>
    </row>
    <row r="1730" spans="2:11" x14ac:dyDescent="0.3">
      <c r="B1730" t="str">
        <f t="shared" si="1057"/>
        <v>SPS3</v>
      </c>
      <c r="C1730" t="str">
        <f t="shared" si="1054"/>
        <v>CH</v>
      </c>
      <c r="D1730" t="s">
        <v>1762</v>
      </c>
      <c r="E1730" t="str">
        <f t="shared" si="1055"/>
        <v>PJ/yr.</v>
      </c>
      <c r="F1730" s="1">
        <f t="shared" si="1056"/>
        <v>0</v>
      </c>
      <c r="G1730" s="1">
        <f t="shared" si="1056"/>
        <v>0.51632278668465426</v>
      </c>
      <c r="H1730" s="1">
        <f t="shared" si="1056"/>
        <v>1.1660336588413265</v>
      </c>
      <c r="I1730" s="1">
        <f t="shared" si="1056"/>
        <v>1.6404182215096907E-5</v>
      </c>
      <c r="J1730" s="1">
        <f t="shared" si="1056"/>
        <v>2.7384550718853842E-2</v>
      </c>
      <c r="K1730" s="1">
        <f t="shared" si="1056"/>
        <v>1.1660336588413265</v>
      </c>
    </row>
    <row r="1731" spans="2:11" x14ac:dyDescent="0.3">
      <c r="B1731" t="str">
        <f t="shared" si="1057"/>
        <v>SPS3</v>
      </c>
      <c r="C1731" t="str">
        <f t="shared" si="1054"/>
        <v>CH</v>
      </c>
      <c r="D1731" t="s">
        <v>1763</v>
      </c>
      <c r="E1731" t="str">
        <f t="shared" si="1055"/>
        <v>PJ/yr.</v>
      </c>
      <c r="F1731" s="1">
        <f t="shared" si="1056"/>
        <v>0</v>
      </c>
      <c r="G1731" s="1">
        <f t="shared" si="1056"/>
        <v>0.51632278668465426</v>
      </c>
      <c r="H1731" s="1">
        <f t="shared" si="1056"/>
        <v>1.1660336588413265</v>
      </c>
      <c r="I1731" s="1">
        <f t="shared" si="1056"/>
        <v>1.6404182215096907E-5</v>
      </c>
      <c r="J1731" s="1">
        <f t="shared" si="1056"/>
        <v>2.7384550718853842E-2</v>
      </c>
      <c r="K1731" s="1">
        <f t="shared" si="1056"/>
        <v>1.1660336588413265</v>
      </c>
    </row>
    <row r="1732" spans="2:11" x14ac:dyDescent="0.3">
      <c r="B1732" t="str">
        <f t="shared" si="1057"/>
        <v>SPS3</v>
      </c>
      <c r="C1732" t="str">
        <f t="shared" si="1054"/>
        <v>CH</v>
      </c>
      <c r="D1732" t="s">
        <v>1764</v>
      </c>
      <c r="E1732" t="str">
        <f t="shared" si="1055"/>
        <v>PJ/yr.</v>
      </c>
      <c r="F1732" s="1">
        <f t="shared" si="1056"/>
        <v>0</v>
      </c>
      <c r="G1732" s="1">
        <f t="shared" si="1056"/>
        <v>0</v>
      </c>
      <c r="H1732" s="1">
        <f t="shared" si="1056"/>
        <v>0</v>
      </c>
      <c r="I1732" s="1">
        <f t="shared" si="1056"/>
        <v>0</v>
      </c>
      <c r="J1732" s="1">
        <f t="shared" si="1056"/>
        <v>0</v>
      </c>
      <c r="K1732" s="1">
        <f t="shared" si="1056"/>
        <v>0.96456652160157264</v>
      </c>
    </row>
    <row r="1733" spans="2:11" x14ac:dyDescent="0.3">
      <c r="B1733" t="str">
        <f t="shared" si="1057"/>
        <v>SPS3</v>
      </c>
      <c r="C1733" t="str">
        <f t="shared" si="1054"/>
        <v>CH</v>
      </c>
      <c r="D1733" t="s">
        <v>1765</v>
      </c>
      <c r="E1733" t="str">
        <f t="shared" si="1055"/>
        <v>PJ/yr.</v>
      </c>
      <c r="F1733" s="1">
        <f t="shared" si="1056"/>
        <v>0</v>
      </c>
      <c r="G1733" s="1">
        <f t="shared" si="1056"/>
        <v>0</v>
      </c>
      <c r="H1733" s="1">
        <f t="shared" si="1056"/>
        <v>0</v>
      </c>
      <c r="I1733" s="1">
        <f t="shared" si="1056"/>
        <v>0</v>
      </c>
      <c r="J1733" s="1">
        <f t="shared" si="1056"/>
        <v>0</v>
      </c>
      <c r="K1733" s="1">
        <f t="shared" si="1056"/>
        <v>0.96456652160157264</v>
      </c>
    </row>
    <row r="1734" spans="2:11" x14ac:dyDescent="0.3">
      <c r="B1734" t="str">
        <f t="shared" si="1057"/>
        <v>SPS3</v>
      </c>
      <c r="C1734" t="str">
        <f t="shared" si="1054"/>
        <v>CH</v>
      </c>
      <c r="D1734" t="s">
        <v>1766</v>
      </c>
      <c r="E1734" t="str">
        <f t="shared" si="1055"/>
        <v>PJ/yr.</v>
      </c>
      <c r="F1734" s="1">
        <f t="shared" si="1056"/>
        <v>250.9485042941028</v>
      </c>
      <c r="G1734" s="1">
        <f t="shared" si="1056"/>
        <v>253.2845331578653</v>
      </c>
      <c r="H1734" s="1">
        <f t="shared" si="1056"/>
        <v>215.81449200800139</v>
      </c>
      <c r="I1734" s="1">
        <f t="shared" si="1056"/>
        <v>209.58451008893789</v>
      </c>
      <c r="J1734" s="1">
        <f t="shared" si="1056"/>
        <v>98.961729178435704</v>
      </c>
      <c r="K1734" s="1">
        <f t="shared" si="1056"/>
        <v>3.70922571507914E-4</v>
      </c>
    </row>
    <row r="1735" spans="2:11" x14ac:dyDescent="0.3">
      <c r="B1735" t="str">
        <f t="shared" si="1057"/>
        <v>SPS3</v>
      </c>
      <c r="C1735" t="str">
        <f t="shared" si="1054"/>
        <v>CH</v>
      </c>
      <c r="D1735" t="s">
        <v>1767</v>
      </c>
      <c r="E1735" t="str">
        <f t="shared" si="1055"/>
        <v>PJ/yr.</v>
      </c>
      <c r="F1735" s="1">
        <f>-F56+F49</f>
        <v>-20.010012511813926</v>
      </c>
      <c r="G1735" s="1">
        <f t="shared" ref="G1735:K1735" si="1058">-G56+G49</f>
        <v>14.487814831279941</v>
      </c>
      <c r="H1735" s="1">
        <f t="shared" si="1058"/>
        <v>-4.3562097132762645</v>
      </c>
      <c r="I1735" s="1">
        <f t="shared" si="1058"/>
        <v>-2.8596727510432629E-6</v>
      </c>
      <c r="J1735" s="1">
        <f t="shared" si="1058"/>
        <v>15.526541680595061</v>
      </c>
      <c r="K1735" s="1">
        <f t="shared" si="1058"/>
        <v>6.6703190222581679</v>
      </c>
    </row>
    <row r="1736" spans="2:11" x14ac:dyDescent="0.3">
      <c r="B1736" t="str">
        <f t="shared" si="1057"/>
        <v>SPS3</v>
      </c>
      <c r="C1736" t="str">
        <f t="shared" si="1054"/>
        <v>CH</v>
      </c>
      <c r="D1736" t="s">
        <v>1768</v>
      </c>
      <c r="E1736" t="str">
        <f t="shared" si="1055"/>
        <v>PJ/yr.</v>
      </c>
      <c r="F1736" s="1">
        <f>F54</f>
        <v>0</v>
      </c>
      <c r="G1736" s="1">
        <f t="shared" ref="G1736:K1736" si="1059">G54</f>
        <v>0</v>
      </c>
      <c r="H1736" s="1">
        <f t="shared" si="1059"/>
        <v>0</v>
      </c>
      <c r="I1736" s="1">
        <f t="shared" si="1059"/>
        <v>0</v>
      </c>
      <c r="J1736" s="1">
        <f t="shared" si="1059"/>
        <v>0</v>
      </c>
      <c r="K1736" s="1">
        <f t="shared" si="1059"/>
        <v>0</v>
      </c>
    </row>
    <row r="1737" spans="2:11" x14ac:dyDescent="0.3">
      <c r="B1737" t="str">
        <f t="shared" si="1057"/>
        <v>SPS3</v>
      </c>
      <c r="C1737" t="str">
        <f t="shared" si="1054"/>
        <v>CH</v>
      </c>
      <c r="D1737" t="s">
        <v>1770</v>
      </c>
      <c r="E1737" t="str">
        <f>E3</f>
        <v>PJ/yr.</v>
      </c>
      <c r="F1737" s="1">
        <f>F3</f>
        <v>44.972445841606422</v>
      </c>
      <c r="G1737" s="1">
        <f t="shared" ref="G1737:K1737" si="1060">G3</f>
        <v>47.709937244765847</v>
      </c>
      <c r="H1737" s="1">
        <f t="shared" si="1060"/>
        <v>47.709968001679499</v>
      </c>
      <c r="I1737" s="1">
        <f t="shared" si="1060"/>
        <v>47.710008065102485</v>
      </c>
      <c r="J1737" s="1">
        <f t="shared" si="1060"/>
        <v>47.71000897642999</v>
      </c>
      <c r="K1737" s="1">
        <f t="shared" si="1060"/>
        <v>48.19009056308542</v>
      </c>
    </row>
    <row r="1738" spans="2:11" x14ac:dyDescent="0.3">
      <c r="B1738" t="str">
        <f t="shared" si="1057"/>
        <v>SPS3</v>
      </c>
      <c r="C1738" t="str">
        <f t="shared" si="1054"/>
        <v>CH</v>
      </c>
      <c r="D1738" t="s">
        <v>1771</v>
      </c>
      <c r="E1738" t="str">
        <f t="shared" ref="E1738:F1738" si="1061">E4</f>
        <v>PJ/yr.</v>
      </c>
      <c r="F1738" s="1">
        <f t="shared" si="1061"/>
        <v>11.111881227614139</v>
      </c>
      <c r="G1738" s="1">
        <f t="shared" ref="G1738:K1738" si="1062">G4</f>
        <v>11.952874276720271</v>
      </c>
      <c r="H1738" s="1">
        <f t="shared" si="1062"/>
        <v>13.214382760150352</v>
      </c>
      <c r="I1738" s="1">
        <f t="shared" si="1062"/>
        <v>15.316901786531492</v>
      </c>
      <c r="J1738" s="1">
        <f t="shared" si="1062"/>
        <v>16.266382439094766</v>
      </c>
      <c r="K1738" s="1">
        <f t="shared" si="1062"/>
        <v>16.956988228018332</v>
      </c>
    </row>
    <row r="1739" spans="2:11" x14ac:dyDescent="0.3">
      <c r="B1739" t="str">
        <f t="shared" si="1057"/>
        <v>SPS3</v>
      </c>
      <c r="C1739" t="str">
        <f t="shared" si="1054"/>
        <v>CH</v>
      </c>
      <c r="D1739" t="s">
        <v>1772</v>
      </c>
      <c r="E1739" t="str">
        <f t="shared" ref="E1739:F1739" si="1063">E5</f>
        <v>PJ/yr.</v>
      </c>
      <c r="F1739" s="1">
        <f t="shared" si="1063"/>
        <v>7.5116745181742068</v>
      </c>
      <c r="G1739" s="1">
        <f t="shared" ref="G1739:K1739" si="1064">G5</f>
        <v>7.5431323690134668</v>
      </c>
      <c r="H1739" s="1">
        <f t="shared" si="1064"/>
        <v>7.5903383368509063</v>
      </c>
      <c r="I1739" s="1">
        <f t="shared" si="1064"/>
        <v>7.669019034359664</v>
      </c>
      <c r="J1739" s="1">
        <f t="shared" si="1064"/>
        <v>7.669013791280638</v>
      </c>
      <c r="K1739" s="1">
        <f t="shared" si="1064"/>
        <v>7.6690194589256562</v>
      </c>
    </row>
    <row r="1740" spans="2:11" x14ac:dyDescent="0.3">
      <c r="B1740" t="str">
        <f t="shared" si="1057"/>
        <v>SPS3</v>
      </c>
      <c r="C1740" t="str">
        <f t="shared" si="1054"/>
        <v>CH</v>
      </c>
      <c r="D1740" t="s">
        <v>1773</v>
      </c>
      <c r="E1740" t="str">
        <f t="shared" ref="E1740:F1740" si="1065">E6</f>
        <v>PJ/yr.</v>
      </c>
      <c r="F1740" s="1">
        <f t="shared" si="1065"/>
        <v>3.1682485622059962</v>
      </c>
      <c r="G1740" s="1">
        <f t="shared" ref="G1740:K1740" si="1066">G6</f>
        <v>3.4956563243302847</v>
      </c>
      <c r="H1740" s="1">
        <f t="shared" si="1066"/>
        <v>3.9867976622040047</v>
      </c>
      <c r="I1740" s="1">
        <f t="shared" si="1066"/>
        <v>4.8053724335446644</v>
      </c>
      <c r="J1740" s="1">
        <f t="shared" si="1066"/>
        <v>4.8053652441706003</v>
      </c>
      <c r="K1740" s="1">
        <f t="shared" si="1066"/>
        <v>4.8053758274333118</v>
      </c>
    </row>
    <row r="1741" spans="2:11" x14ac:dyDescent="0.3">
      <c r="B1741" t="str">
        <f t="shared" si="1057"/>
        <v>SPS3</v>
      </c>
      <c r="C1741" t="str">
        <f t="shared" si="1054"/>
        <v>CH</v>
      </c>
      <c r="D1741" t="s">
        <v>1774</v>
      </c>
      <c r="E1741" t="str">
        <f t="shared" ref="E1741:F1741" si="1067">E7</f>
        <v>PJ/yr.</v>
      </c>
      <c r="F1741" s="1">
        <f t="shared" si="1067"/>
        <v>23.180641533612082</v>
      </c>
      <c r="G1741" s="1">
        <f t="shared" ref="G1741:K1741" si="1068">G7</f>
        <v>24.718274274701827</v>
      </c>
      <c r="H1741" s="1">
        <f t="shared" si="1068"/>
        <v>22.918449242474232</v>
      </c>
      <c r="I1741" s="1">
        <f t="shared" si="1068"/>
        <v>19.918714810666668</v>
      </c>
      <c r="J1741" s="1">
        <f t="shared" si="1068"/>
        <v>18.969247501883981</v>
      </c>
      <c r="K1741" s="1">
        <f t="shared" si="1068"/>
        <v>18.758707048708121</v>
      </c>
    </row>
    <row r="1742" spans="2:11" x14ac:dyDescent="0.3">
      <c r="B1742" t="str">
        <f t="shared" si="1057"/>
        <v>SPS3</v>
      </c>
      <c r="C1742" t="str">
        <f t="shared" si="1054"/>
        <v>CH</v>
      </c>
      <c r="D1742" t="s">
        <v>1775</v>
      </c>
      <c r="E1742" t="str">
        <f t="shared" ref="E1742:F1742" si="1069">E8</f>
        <v>PJ/yr.</v>
      </c>
      <c r="F1742" s="1">
        <f t="shared" si="1069"/>
        <v>69.392899609041223</v>
      </c>
      <c r="G1742" s="1">
        <f t="shared" ref="G1742:K1742" si="1070">G8</f>
        <v>69.663495271403107</v>
      </c>
      <c r="H1742" s="1">
        <f t="shared" si="1070"/>
        <v>69.270597567980062</v>
      </c>
      <c r="I1742" s="1">
        <f t="shared" si="1070"/>
        <v>72.003833439556132</v>
      </c>
      <c r="J1742" s="1">
        <f t="shared" si="1070"/>
        <v>72.755846185605819</v>
      </c>
      <c r="K1742" s="1">
        <f t="shared" si="1070"/>
        <v>77.502239338323051</v>
      </c>
    </row>
    <row r="1743" spans="2:11" x14ac:dyDescent="0.3">
      <c r="B1743" t="str">
        <f t="shared" si="1057"/>
        <v>SPS3</v>
      </c>
      <c r="C1743" t="str">
        <f t="shared" si="1054"/>
        <v>CH</v>
      </c>
      <c r="D1743" t="s">
        <v>1776</v>
      </c>
      <c r="E1743" t="str">
        <f t="shared" ref="E1743:F1743" si="1071">E9</f>
        <v>PJ/yr.</v>
      </c>
      <c r="F1743" s="1">
        <f t="shared" si="1071"/>
        <v>35.611777857532019</v>
      </c>
      <c r="G1743" s="1">
        <f t="shared" ref="G1743:K1743" si="1072">G9</f>
        <v>35.882389695216531</v>
      </c>
      <c r="H1743" s="1">
        <f t="shared" si="1072"/>
        <v>35.489492387607719</v>
      </c>
      <c r="I1743" s="1">
        <f t="shared" si="1072"/>
        <v>35.687246602228306</v>
      </c>
      <c r="J1743" s="1">
        <f t="shared" si="1072"/>
        <v>35.15945211770142</v>
      </c>
      <c r="K1743" s="1">
        <f t="shared" si="1072"/>
        <v>35.603179181073742</v>
      </c>
    </row>
    <row r="1744" spans="2:11" x14ac:dyDescent="0.3">
      <c r="B1744" t="str">
        <f t="shared" si="1057"/>
        <v>SPS3</v>
      </c>
      <c r="C1744" t="str">
        <f t="shared" si="1054"/>
        <v>CH</v>
      </c>
      <c r="D1744" t="s">
        <v>1777</v>
      </c>
      <c r="E1744" t="str">
        <f t="shared" ref="E1744:F1744" si="1073">E10</f>
        <v>PJ/yr.</v>
      </c>
      <c r="F1744" s="1">
        <f t="shared" si="1073"/>
        <v>33.781121751509197</v>
      </c>
      <c r="G1744" s="1">
        <f t="shared" ref="G1744:K1744" si="1074">G10</f>
        <v>33.781105576186576</v>
      </c>
      <c r="H1744" s="1">
        <f t="shared" si="1074"/>
        <v>33.781105180372343</v>
      </c>
      <c r="I1744" s="1">
        <f t="shared" si="1074"/>
        <v>36.316586837327826</v>
      </c>
      <c r="J1744" s="1">
        <f t="shared" si="1074"/>
        <v>37.596394067904399</v>
      </c>
      <c r="K1744" s="1">
        <f t="shared" si="1074"/>
        <v>41.899060157249309</v>
      </c>
    </row>
    <row r="1745" spans="2:11" x14ac:dyDescent="0.3">
      <c r="B1745" t="str">
        <f t="shared" si="1057"/>
        <v>SPS3</v>
      </c>
      <c r="C1745" t="str">
        <f t="shared" si="1054"/>
        <v>CH</v>
      </c>
      <c r="D1745" t="s">
        <v>1778</v>
      </c>
      <c r="E1745" t="str">
        <f t="shared" ref="E1745:F1745" si="1075">E11</f>
        <v>PJ/yr.</v>
      </c>
      <c r="F1745" s="1">
        <f t="shared" si="1075"/>
        <v>3.7981123036001563</v>
      </c>
      <c r="G1745" s="1">
        <f t="shared" ref="G1745:K1745" si="1076">G11</f>
        <v>12.540349061436519</v>
      </c>
      <c r="H1745" s="1">
        <f t="shared" si="1076"/>
        <v>12.54040171323124</v>
      </c>
      <c r="I1745" s="1">
        <f t="shared" si="1076"/>
        <v>12.540444094000744</v>
      </c>
      <c r="J1745" s="1">
        <f t="shared" si="1076"/>
        <v>14.675065279015833</v>
      </c>
      <c r="K1745" s="1">
        <f t="shared" si="1076"/>
        <v>26.999964862345102</v>
      </c>
    </row>
    <row r="1746" spans="2:11" x14ac:dyDescent="0.3">
      <c r="B1746" t="str">
        <f t="shared" si="1057"/>
        <v>SPS3</v>
      </c>
      <c r="C1746" t="str">
        <f t="shared" si="1054"/>
        <v>CH</v>
      </c>
      <c r="D1746" t="s">
        <v>1779</v>
      </c>
      <c r="E1746" t="str">
        <f t="shared" ref="E1746:F1746" si="1077">E12</f>
        <v>PJ/yr.</v>
      </c>
      <c r="F1746" s="1">
        <f t="shared" si="1077"/>
        <v>149.43051528527872</v>
      </c>
      <c r="G1746" s="1">
        <f t="shared" ref="G1746:K1746" si="1078">G12</f>
        <v>125.62909466399515</v>
      </c>
      <c r="H1746" s="1">
        <f t="shared" si="1078"/>
        <v>191.02897728476563</v>
      </c>
      <c r="I1746" s="1">
        <f t="shared" si="1078"/>
        <v>150.81580582512464</v>
      </c>
      <c r="J1746" s="1">
        <f t="shared" si="1078"/>
        <v>152.09513941142598</v>
      </c>
      <c r="K1746" s="1">
        <f t="shared" si="1078"/>
        <v>152.50245738755802</v>
      </c>
    </row>
    <row r="1747" spans="2:11" x14ac:dyDescent="0.3">
      <c r="B1747" t="str">
        <f t="shared" si="1057"/>
        <v>SPS3</v>
      </c>
      <c r="C1747" t="str">
        <f t="shared" si="1054"/>
        <v>CH</v>
      </c>
      <c r="D1747" t="s">
        <v>1780</v>
      </c>
      <c r="E1747" t="str">
        <f t="shared" ref="E1747:F1747" si="1079">E13</f>
        <v>PJ/yr.</v>
      </c>
      <c r="F1747" s="1">
        <f t="shared" si="1079"/>
        <v>66.745680242457198</v>
      </c>
      <c r="G1747" s="1">
        <f t="shared" ref="G1747:K1747" si="1080">G13</f>
        <v>49.798772798818447</v>
      </c>
      <c r="H1747" s="1">
        <f t="shared" si="1080"/>
        <v>68.44373040175482</v>
      </c>
      <c r="I1747" s="1">
        <f t="shared" si="1080"/>
        <v>68.180550216121247</v>
      </c>
      <c r="J1747" s="1">
        <f t="shared" si="1080"/>
        <v>71.199673773627197</v>
      </c>
      <c r="K1747" s="1">
        <f t="shared" si="1080"/>
        <v>70.392364007093917</v>
      </c>
    </row>
    <row r="1748" spans="2:11" x14ac:dyDescent="0.3">
      <c r="B1748" t="str">
        <f t="shared" si="1057"/>
        <v>SPS3</v>
      </c>
      <c r="C1748" t="str">
        <f t="shared" si="1054"/>
        <v>CH</v>
      </c>
      <c r="D1748" t="s">
        <v>1781</v>
      </c>
      <c r="E1748" t="str">
        <f t="shared" ref="E1748:F1748" si="1081">E14</f>
        <v>PJ/yr.</v>
      </c>
      <c r="F1748" s="1">
        <f t="shared" si="1081"/>
        <v>66.632414534993345</v>
      </c>
      <c r="G1748" s="1">
        <f t="shared" ref="G1748:K1748" si="1082">G14</f>
        <v>55.763997394256521</v>
      </c>
      <c r="H1748" s="1">
        <f t="shared" si="1082"/>
        <v>65.64174178742968</v>
      </c>
      <c r="I1748" s="1">
        <f t="shared" si="1082"/>
        <v>66.967551450462892</v>
      </c>
      <c r="J1748" s="1">
        <f t="shared" si="1082"/>
        <v>64.786803230896652</v>
      </c>
      <c r="K1748" s="1">
        <f t="shared" si="1082"/>
        <v>65.594080260553554</v>
      </c>
    </row>
    <row r="1749" spans="2:11" x14ac:dyDescent="0.3">
      <c r="B1749" t="str">
        <f t="shared" si="1057"/>
        <v>SPS3</v>
      </c>
      <c r="C1749" t="str">
        <f t="shared" si="1054"/>
        <v>CH</v>
      </c>
      <c r="D1749" t="s">
        <v>1782</v>
      </c>
      <c r="E1749" t="str">
        <f t="shared" ref="E1749:F1749" si="1083">E15</f>
        <v>PJ/yr.</v>
      </c>
      <c r="F1749" s="1">
        <f t="shared" si="1083"/>
        <v>16.052420507828163</v>
      </c>
      <c r="G1749" s="1">
        <f t="shared" ref="G1749:K1749" si="1084">G15</f>
        <v>20.066324470920176</v>
      </c>
      <c r="H1749" s="1">
        <f t="shared" si="1084"/>
        <v>56.943505095581159</v>
      </c>
      <c r="I1749" s="1">
        <f t="shared" si="1084"/>
        <v>15.667704158540502</v>
      </c>
      <c r="J1749" s="1">
        <f t="shared" si="1084"/>
        <v>16.108662406902116</v>
      </c>
      <c r="K1749" s="1">
        <f t="shared" si="1084"/>
        <v>16.516013119910554</v>
      </c>
    </row>
    <row r="1750" spans="2:11" x14ac:dyDescent="0.3">
      <c r="B1750" t="str">
        <f t="shared" si="1057"/>
        <v>SPS3</v>
      </c>
      <c r="C1750" t="str">
        <f t="shared" si="1054"/>
        <v>CH</v>
      </c>
      <c r="D1750" t="s">
        <v>1783</v>
      </c>
      <c r="E1750" t="str">
        <f t="shared" ref="E1750:F1750" si="1085">E16</f>
        <v>PJ/yr.</v>
      </c>
      <c r="F1750" s="1">
        <f t="shared" si="1085"/>
        <v>12.556555837235985</v>
      </c>
      <c r="G1750" s="1">
        <f t="shared" ref="G1750:K1750" si="1086">G16</f>
        <v>16.523628862519221</v>
      </c>
      <c r="H1750" s="1">
        <f t="shared" si="1086"/>
        <v>31.879610368401561</v>
      </c>
      <c r="I1750" s="1">
        <f t="shared" si="1086"/>
        <v>36.296299834947206</v>
      </c>
      <c r="J1750" s="1">
        <f t="shared" si="1086"/>
        <v>65.886306603111507</v>
      </c>
      <c r="K1750" s="1">
        <f t="shared" si="1086"/>
        <v>96.433193963493878</v>
      </c>
    </row>
    <row r="1751" spans="2:11" x14ac:dyDescent="0.3">
      <c r="B1751" t="str">
        <f t="shared" si="1057"/>
        <v>SPS3</v>
      </c>
      <c r="C1751" t="str">
        <f t="shared" si="1054"/>
        <v>CH</v>
      </c>
      <c r="D1751" t="s">
        <v>1784</v>
      </c>
      <c r="E1751" t="str">
        <f t="shared" ref="E1751:F1751" si="1087">E17</f>
        <v>PJ/yr.</v>
      </c>
      <c r="F1751" s="1">
        <f t="shared" si="1087"/>
        <v>0.52415701887531818</v>
      </c>
      <c r="G1751" s="1">
        <f t="shared" ref="G1751:K1751" si="1088">G17</f>
        <v>0.54529695493670194</v>
      </c>
      <c r="H1751" s="1">
        <f t="shared" si="1088"/>
        <v>1.0538581301090508</v>
      </c>
      <c r="I1751" s="1">
        <f t="shared" si="1088"/>
        <v>2.0504175567554079</v>
      </c>
      <c r="J1751" s="1">
        <f t="shared" si="1088"/>
        <v>5.020619195299191</v>
      </c>
      <c r="K1751" s="1">
        <f t="shared" si="1088"/>
        <v>6.1200790482247935</v>
      </c>
    </row>
    <row r="1752" spans="2:11" x14ac:dyDescent="0.3">
      <c r="B1752" t="str">
        <f t="shared" si="1057"/>
        <v>SPS3</v>
      </c>
      <c r="C1752" t="str">
        <f t="shared" si="1054"/>
        <v>CH</v>
      </c>
      <c r="D1752" t="s">
        <v>1785</v>
      </c>
      <c r="E1752" t="str">
        <f t="shared" ref="E1752:F1752" si="1089">E18</f>
        <v>PJ/yr.</v>
      </c>
      <c r="F1752" s="1">
        <f t="shared" si="1089"/>
        <v>18.873346028167052</v>
      </c>
      <c r="G1752" s="1">
        <f t="shared" ref="G1752:K1752" si="1090">G18</f>
        <v>21.785051637397022</v>
      </c>
      <c r="H1752" s="1">
        <f t="shared" si="1090"/>
        <v>34.384281527101209</v>
      </c>
      <c r="I1752" s="1">
        <f t="shared" si="1090"/>
        <v>62.34562323418362</v>
      </c>
      <c r="J1752" s="1">
        <f t="shared" si="1090"/>
        <v>85.607345377462707</v>
      </c>
      <c r="K1752" s="1">
        <f t="shared" si="1090"/>
        <v>81.463088131710194</v>
      </c>
    </row>
    <row r="1753" spans="2:11" x14ac:dyDescent="0.3">
      <c r="B1753" t="str">
        <f t="shared" si="1057"/>
        <v>SPS3</v>
      </c>
      <c r="C1753" t="str">
        <f t="shared" si="1054"/>
        <v>CH</v>
      </c>
      <c r="D1753" t="s">
        <v>1786</v>
      </c>
      <c r="E1753" t="str">
        <f t="shared" ref="E1753:F1753" si="1091">E19</f>
        <v>PJ/yr.</v>
      </c>
      <c r="F1753" s="1">
        <f t="shared" si="1091"/>
        <v>0</v>
      </c>
      <c r="G1753" s="1">
        <f t="shared" ref="G1753:K1753" si="1092">G19</f>
        <v>0</v>
      </c>
      <c r="H1753" s="1">
        <f t="shared" si="1092"/>
        <v>0</v>
      </c>
      <c r="I1753" s="1">
        <f t="shared" si="1092"/>
        <v>0</v>
      </c>
      <c r="J1753" s="1">
        <f t="shared" si="1092"/>
        <v>7.3213940634494091E-3</v>
      </c>
      <c r="K1753" s="1">
        <f t="shared" si="1092"/>
        <v>9.6199738260660944E-3</v>
      </c>
    </row>
    <row r="1754" spans="2:11" x14ac:dyDescent="0.3">
      <c r="B1754" s="9" t="str">
        <f t="shared" si="1057"/>
        <v>SPS3</v>
      </c>
      <c r="C1754" s="2" t="str">
        <f t="shared" si="1054"/>
        <v>CH</v>
      </c>
      <c r="D1754" s="2" t="s">
        <v>1789</v>
      </c>
      <c r="E1754" s="2" t="s">
        <v>1858</v>
      </c>
      <c r="F1754" s="3">
        <f t="shared" ref="F1754:K1754" si="1093">SUM(F1755,F1757,F1761,F1765,F1781,F1788,F1796,F1798,F1806,F1810,F1804)</f>
        <v>22.460424613342155</v>
      </c>
      <c r="G1754" s="3">
        <f t="shared" si="1093"/>
        <v>24.483294257711819</v>
      </c>
      <c r="H1754" s="3">
        <f t="shared" si="1093"/>
        <v>29.562006090114277</v>
      </c>
      <c r="I1754" s="3">
        <f t="shared" si="1093"/>
        <v>29.572936097455749</v>
      </c>
      <c r="J1754" s="3">
        <f t="shared" si="1093"/>
        <v>37.964291627949677</v>
      </c>
      <c r="K1754" s="3">
        <f t="shared" si="1093"/>
        <v>47.141573860825588</v>
      </c>
    </row>
    <row r="1755" spans="2:11" x14ac:dyDescent="0.3">
      <c r="B1755" s="5" t="str">
        <f t="shared" si="1057"/>
        <v>SPS3</v>
      </c>
      <c r="C1755" s="5" t="str">
        <f t="shared" si="1054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094">+G1756</f>
        <v>3.0805587219222113</v>
      </c>
      <c r="H1755" s="1">
        <f t="shared" si="1094"/>
        <v>2.8402417135845561</v>
      </c>
      <c r="I1755" s="1">
        <f t="shared" si="1094"/>
        <v>2.6090415664829618</v>
      </c>
      <c r="J1755" s="1">
        <f t="shared" si="1094"/>
        <v>1.2356851844506809</v>
      </c>
      <c r="K1755" s="1">
        <f t="shared" si="1094"/>
        <v>0</v>
      </c>
    </row>
    <row r="1756" spans="2:11" x14ac:dyDescent="0.3">
      <c r="B1756" s="5" t="str">
        <f t="shared" si="1057"/>
        <v>SPS3</v>
      </c>
      <c r="C1756" s="5" t="str">
        <f t="shared" si="1054"/>
        <v>CH</v>
      </c>
      <c r="D1756" t="s">
        <v>1792</v>
      </c>
      <c r="E1756" t="str">
        <f t="shared" ref="E1756:E1817" si="1095">E1755</f>
        <v>GWe/yr.</v>
      </c>
      <c r="F1756" s="1">
        <f>'[1]Electricity and CHPs_CAP'!B$14</f>
        <v>3.0805587219222113</v>
      </c>
      <c r="G1756" s="1">
        <f>'[1]Electricity and CHPs_CAP'!C$14</f>
        <v>3.0805587219222113</v>
      </c>
      <c r="H1756" s="1">
        <f>'[1]Electricity and CHPs_CAP'!D$14</f>
        <v>2.8402417135845561</v>
      </c>
      <c r="I1756" s="1">
        <f>'[1]Electricity and CHPs_CAP'!E$14</f>
        <v>2.6090415664829618</v>
      </c>
      <c r="J1756" s="1">
        <f>'[1]Electricity and CHPs_CAP'!F$14</f>
        <v>1.2356851844506809</v>
      </c>
      <c r="K1756" s="1">
        <f>'[1]Electricity and CHPs_CAP'!G$14</f>
        <v>0</v>
      </c>
    </row>
    <row r="1757" spans="2:11" x14ac:dyDescent="0.3">
      <c r="B1757" s="5" t="str">
        <f t="shared" si="1057"/>
        <v>SPS3</v>
      </c>
      <c r="C1757" s="5" t="str">
        <f t="shared" si="1054"/>
        <v>CH</v>
      </c>
      <c r="D1757" t="s">
        <v>1793</v>
      </c>
      <c r="E1757" t="str">
        <f t="shared" si="1095"/>
        <v>GWe/yr.</v>
      </c>
      <c r="F1757" s="1">
        <f>SUM(F1758:F1760)</f>
        <v>15.403610001059999</v>
      </c>
      <c r="G1757" s="1">
        <f t="shared" ref="G1757:K1757" si="1096">SUM(G1758:G1760)</f>
        <v>16.215947745886339</v>
      </c>
      <c r="H1757" s="1">
        <f t="shared" si="1096"/>
        <v>16.655511912515976</v>
      </c>
      <c r="I1757" s="1">
        <f t="shared" si="1096"/>
        <v>16.800446163641382</v>
      </c>
      <c r="J1757" s="1">
        <f t="shared" si="1096"/>
        <v>16.802003861877505</v>
      </c>
      <c r="K1757" s="1">
        <f t="shared" si="1096"/>
        <v>17.247002011721733</v>
      </c>
    </row>
    <row r="1758" spans="2:11" x14ac:dyDescent="0.3">
      <c r="B1758" s="5" t="str">
        <f t="shared" si="1057"/>
        <v>SPS3</v>
      </c>
      <c r="C1758" s="5" t="str">
        <f t="shared" si="1054"/>
        <v>CH</v>
      </c>
      <c r="D1758" t="s">
        <v>1794</v>
      </c>
      <c r="E1758" t="str">
        <f t="shared" si="1095"/>
        <v>GWe/yr.</v>
      </c>
      <c r="F1758" s="1">
        <f>'[1]Electricity and CHPs_CAP'!B$15</f>
        <v>7.3394300010600002</v>
      </c>
      <c r="G1758" s="1">
        <f>'[1]Electricity and CHPs_CAP'!C$15</f>
        <v>7.4233635378839393</v>
      </c>
      <c r="H1758" s="1">
        <f>'[1]Electricity and CHPs_CAP'!D$15</f>
        <v>7.4233984922704828</v>
      </c>
      <c r="I1758" s="1">
        <f>'[1]Electricity and CHPs_CAP'!E$15</f>
        <v>7.4234042073842499</v>
      </c>
      <c r="J1758" s="1">
        <f>'[1]Electricity and CHPs_CAP'!F$15</f>
        <v>7.4242463410124797</v>
      </c>
      <c r="K1758" s="1">
        <f>'[1]Electricity and CHPs_CAP'!G$15</f>
        <v>7.6706322338338406</v>
      </c>
    </row>
    <row r="1759" spans="2:11" x14ac:dyDescent="0.3">
      <c r="B1759" s="5" t="str">
        <f t="shared" si="1057"/>
        <v>SPS3</v>
      </c>
      <c r="C1759" s="5" t="str">
        <f t="shared" si="1054"/>
        <v>CH</v>
      </c>
      <c r="D1759" t="s">
        <v>1795</v>
      </c>
      <c r="E1759" t="str">
        <f t="shared" si="1095"/>
        <v>GWe/yr.</v>
      </c>
      <c r="F1759" s="1">
        <f>'[1]Electricity and CHPs_CAP'!B$16</f>
        <v>4.7247299999999992</v>
      </c>
      <c r="G1759" s="1">
        <f>'[1]Electricity and CHPs_CAP'!C$16</f>
        <v>4.8189102962541908</v>
      </c>
      <c r="H1759" s="1">
        <f>'[1]Electricity and CHPs_CAP'!D$16</f>
        <v>4.8700182654848128</v>
      </c>
      <c r="I1759" s="1">
        <f>'[1]Electricity and CHPs_CAP'!E$16</f>
        <v>5.0149465683947856</v>
      </c>
      <c r="J1759" s="1">
        <f>'[1]Electricity and CHPs_CAP'!F$16</f>
        <v>5.0156611374094346</v>
      </c>
      <c r="K1759" s="1">
        <f>'[1]Electricity and CHPs_CAP'!G$16</f>
        <v>5.2142726319125714</v>
      </c>
    </row>
    <row r="1760" spans="2:11" x14ac:dyDescent="0.3">
      <c r="B1760" s="5" t="str">
        <f t="shared" si="1057"/>
        <v>SPS3</v>
      </c>
      <c r="C1760" s="5" t="str">
        <f t="shared" si="1054"/>
        <v>CH</v>
      </c>
      <c r="D1760" t="s">
        <v>1796</v>
      </c>
      <c r="E1760" t="str">
        <f t="shared" si="1095"/>
        <v>GWe/yr.</v>
      </c>
      <c r="F1760" s="1">
        <f>'[1]Electricity and CHPs_CAP'!B$17</f>
        <v>3.3394499999999998</v>
      </c>
      <c r="G1760" s="1">
        <f>'[1]Electricity and CHPs_CAP'!C$17</f>
        <v>3.9736739117482109</v>
      </c>
      <c r="H1760" s="1">
        <f>'[1]Electricity and CHPs_CAP'!D$17</f>
        <v>4.362095154760679</v>
      </c>
      <c r="I1760" s="1">
        <f>'[1]Electricity and CHPs_CAP'!E$17</f>
        <v>4.3620953878623467</v>
      </c>
      <c r="J1760" s="1">
        <f>'[1]Electricity and CHPs_CAP'!F$17</f>
        <v>4.3620963834555901</v>
      </c>
      <c r="K1760" s="1">
        <f>'[1]Electricity and CHPs_CAP'!G$17</f>
        <v>4.3620971459753211</v>
      </c>
    </row>
    <row r="1761" spans="2:11" x14ac:dyDescent="0.3">
      <c r="B1761" s="5" t="str">
        <f t="shared" si="1057"/>
        <v>SPS3</v>
      </c>
      <c r="C1761" s="5" t="str">
        <f>C1752</f>
        <v>CH</v>
      </c>
      <c r="D1761" t="s">
        <v>1797</v>
      </c>
      <c r="E1761" t="str">
        <f t="shared" si="1095"/>
        <v>GWe/yr.</v>
      </c>
      <c r="F1761" s="1">
        <f>SUM(F1762:F1764)</f>
        <v>6.5756285945098927E-2</v>
      </c>
      <c r="G1761" s="1">
        <f t="shared" ref="G1761:K1761" si="1097">SUM(G1762:G1764)</f>
        <v>3.8167456951332751E-2</v>
      </c>
      <c r="H1761" s="1">
        <f t="shared" si="1097"/>
        <v>3.626818784395823E-2</v>
      </c>
      <c r="I1761" s="1">
        <f t="shared" si="1097"/>
        <v>2.1956867712137975E-2</v>
      </c>
      <c r="J1761" s="1">
        <f t="shared" si="1097"/>
        <v>6.5079850787758436E-2</v>
      </c>
      <c r="K1761" s="1">
        <f t="shared" si="1097"/>
        <v>5.0032713795348308E-2</v>
      </c>
    </row>
    <row r="1762" spans="2:11" x14ac:dyDescent="0.3">
      <c r="B1762" s="5" t="str">
        <f t="shared" si="1057"/>
        <v>SPS3</v>
      </c>
      <c r="C1762" s="5" t="str">
        <f>C1761</f>
        <v>CH</v>
      </c>
      <c r="D1762" t="s">
        <v>1798</v>
      </c>
      <c r="E1762" t="str">
        <f t="shared" si="1095"/>
        <v>GWe/yr.</v>
      </c>
      <c r="F1762" s="1">
        <f>'[1]Electricity and CHPs_CAP'!B$18</f>
        <v>4.6976922687830103E-2</v>
      </c>
      <c r="G1762" s="1">
        <f>'[1]Electricity and CHPs_CAP'!C$18</f>
        <v>2.2526674797233394E-2</v>
      </c>
      <c r="H1762" s="1">
        <f>'[1]Electricity and CHPs_CAP'!D$18</f>
        <v>2.129832934350356E-2</v>
      </c>
      <c r="I1762" s="1">
        <f>'[1]Electricity and CHPs_CAP'!E$18</f>
        <v>1.8800303524091795E-2</v>
      </c>
      <c r="J1762" s="1">
        <f>'[1]Electricity and CHPs_CAP'!F$18</f>
        <v>4.228749455588135E-2</v>
      </c>
      <c r="K1762" s="1">
        <f>'[1]Electricity and CHPs_CAP'!G$18</f>
        <v>2.4369221809542398E-2</v>
      </c>
    </row>
    <row r="1763" spans="2:11" x14ac:dyDescent="0.3">
      <c r="B1763" s="5" t="str">
        <f t="shared" si="1057"/>
        <v>SPS3</v>
      </c>
      <c r="C1763" s="5" t="str">
        <f t="shared" ref="C1763:C1764" si="1098">C1762</f>
        <v>CH</v>
      </c>
      <c r="D1763" t="s">
        <v>1799</v>
      </c>
      <c r="E1763" t="str">
        <f t="shared" si="1095"/>
        <v>GWe/yr.</v>
      </c>
      <c r="F1763" s="1">
        <f>'[1]Electricity and CHPs_CAP'!B$28</f>
        <v>1.0476321399723588E-2</v>
      </c>
      <c r="G1763" s="1">
        <f>'[1]Electricity and CHPs_CAP'!C$28</f>
        <v>8.5993302989912299E-3</v>
      </c>
      <c r="H1763" s="1">
        <f>'[1]Electricity and CHPs_CAP'!D$28</f>
        <v>7.9541327326554737E-3</v>
      </c>
      <c r="I1763" s="1">
        <f>'[1]Electricity and CHPs_CAP'!E$28</f>
        <v>3.1276245505350584E-3</v>
      </c>
      <c r="J1763" s="1">
        <f>'[1]Electricity and CHPs_CAP'!F$28</f>
        <v>1.2528651724565379E-3</v>
      </c>
      <c r="K1763" s="1">
        <f>'[1]Electricity and CHPs_CAP'!G$28</f>
        <v>8.2196008576724254E-4</v>
      </c>
    </row>
    <row r="1764" spans="2:11" x14ac:dyDescent="0.3">
      <c r="B1764" s="5" t="str">
        <f t="shared" si="1057"/>
        <v>SPS3</v>
      </c>
      <c r="C1764" s="5" t="str">
        <f t="shared" si="1098"/>
        <v>CH</v>
      </c>
      <c r="D1764" t="s">
        <v>1800</v>
      </c>
      <c r="E1764" t="str">
        <f t="shared" si="1095"/>
        <v>GWe/yr.</v>
      </c>
      <c r="F1764" s="1">
        <f>'[1]Electricity and CHPs_CAP'!B$41</f>
        <v>8.3030418575452403E-3</v>
      </c>
      <c r="G1764" s="1">
        <f>'[1]Electricity and CHPs_CAP'!C$41</f>
        <v>7.0414518551081308E-3</v>
      </c>
      <c r="H1764" s="1">
        <f>'[1]Electricity and CHPs_CAP'!D$41</f>
        <v>7.0157257677991927E-3</v>
      </c>
      <c r="I1764" s="1">
        <f>'[1]Electricity and CHPs_CAP'!E$41</f>
        <v>2.893963751112328E-5</v>
      </c>
      <c r="J1764" s="1">
        <f>'[1]Electricity and CHPs_CAP'!F$41</f>
        <v>2.1539491059420546E-2</v>
      </c>
      <c r="K1764" s="1">
        <f>'[1]Electricity and CHPs_CAP'!G$41</f>
        <v>2.4841531900038665E-2</v>
      </c>
    </row>
    <row r="1765" spans="2:11" x14ac:dyDescent="0.3">
      <c r="B1765" s="5" t="str">
        <f t="shared" si="1057"/>
        <v>SPS3</v>
      </c>
      <c r="C1765" s="5" t="str">
        <f>C1764</f>
        <v>CH</v>
      </c>
      <c r="D1765" t="s">
        <v>1801</v>
      </c>
      <c r="E1765" t="str">
        <f t="shared" si="1095"/>
        <v>GWe/yr.</v>
      </c>
      <c r="F1765" s="1">
        <f>SUM(F1766:F1780)</f>
        <v>0.28148736431041205</v>
      </c>
      <c r="G1765" s="1">
        <f t="shared" ref="G1765:K1765" si="1099">SUM(G1766:G1780)</f>
        <v>0.1528276064936184</v>
      </c>
      <c r="H1765" s="1">
        <f t="shared" si="1099"/>
        <v>0.10575998885748443</v>
      </c>
      <c r="I1765" s="1">
        <f t="shared" si="1099"/>
        <v>9.7999970112340434E-2</v>
      </c>
      <c r="J1765" s="1">
        <f t="shared" si="1099"/>
        <v>0.53445474126673898</v>
      </c>
      <c r="K1765" s="1">
        <f t="shared" si="1099"/>
        <v>0.53556233752301818</v>
      </c>
    </row>
    <row r="1766" spans="2:11" x14ac:dyDescent="0.3">
      <c r="B1766" s="5" t="str">
        <f t="shared" si="1057"/>
        <v>SPS3</v>
      </c>
      <c r="C1766" s="5" t="str">
        <f t="shared" ref="C1766:C1779" si="1100">C1765</f>
        <v>CH</v>
      </c>
      <c r="D1766" t="s">
        <v>1802</v>
      </c>
      <c r="E1766" t="str">
        <f t="shared" si="1095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1.55906066807836E-2</v>
      </c>
      <c r="K1766" s="1">
        <f>'[1]Electricity and CHPs_CAP'!G$21</f>
        <v>2.9009810445399988E-3</v>
      </c>
    </row>
    <row r="1767" spans="2:11" x14ac:dyDescent="0.3">
      <c r="B1767" s="5" t="str">
        <f t="shared" si="1057"/>
        <v>SPS3</v>
      </c>
      <c r="C1767" s="5" t="str">
        <f t="shared" si="1100"/>
        <v>CH</v>
      </c>
      <c r="D1767" t="s">
        <v>1803</v>
      </c>
      <c r="E1767" t="str">
        <f t="shared" si="1095"/>
        <v>GWe/yr.</v>
      </c>
      <c r="F1767" s="1">
        <f>'[1]Electricity and CHPs_CAP'!B$22</f>
        <v>0</v>
      </c>
      <c r="G1767" s="1">
        <f>'[1]Electricity and CHPs_CAP'!C$22</f>
        <v>0</v>
      </c>
      <c r="H1767" s="1">
        <f>'[1]Electricity and CHPs_CAP'!D$22</f>
        <v>0</v>
      </c>
      <c r="I1767" s="1">
        <f>'[1]Electricity and CHPs_CAP'!E$22</f>
        <v>7.4859020165181601E-3</v>
      </c>
      <c r="J1767" s="1">
        <f>'[1]Electricity and CHPs_CAP'!F$22</f>
        <v>7.2569532033996728E-2</v>
      </c>
      <c r="K1767" s="1">
        <f>'[1]Electricity and CHPs_CAP'!G$22</f>
        <v>6.9954637458744223E-2</v>
      </c>
    </row>
    <row r="1768" spans="2:11" x14ac:dyDescent="0.3">
      <c r="B1768" s="5" t="str">
        <f t="shared" si="1057"/>
        <v>SPS3</v>
      </c>
      <c r="C1768" s="5" t="str">
        <f t="shared" si="1100"/>
        <v>CH</v>
      </c>
      <c r="D1768" t="s">
        <v>1804</v>
      </c>
      <c r="E1768" t="str">
        <f t="shared" si="1095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2.1343991908768299E-3</v>
      </c>
      <c r="K1768" s="1">
        <f>'[1]Electricity and CHPs_CAP'!G$23</f>
        <v>0.17623480798031951</v>
      </c>
    </row>
    <row r="1769" spans="2:11" x14ac:dyDescent="0.3">
      <c r="B1769" s="5" t="str">
        <f t="shared" si="1057"/>
        <v>SPS3</v>
      </c>
      <c r="C1769" s="5" t="str">
        <f t="shared" si="1100"/>
        <v>CH</v>
      </c>
      <c r="D1769" t="s">
        <v>1805</v>
      </c>
      <c r="E1769" t="str">
        <f t="shared" si="1095"/>
        <v>GWe/yr.</v>
      </c>
      <c r="F1769" s="1">
        <f>'[1]Electricity and CHPs_CAP'!B$24</f>
        <v>0.10167103234796462</v>
      </c>
      <c r="G1769" s="1">
        <f>'[1]Electricity and CHPs_CAP'!C$24</f>
        <v>1.4898207010689835E-4</v>
      </c>
      <c r="H1769" s="1">
        <f>'[1]Electricity and CHPs_CAP'!D$24</f>
        <v>2.1695441426320128E-3</v>
      </c>
      <c r="I1769" s="1">
        <f>'[1]Electricity and CHPs_CAP'!E$24</f>
        <v>3.3945725022771489E-5</v>
      </c>
      <c r="J1769" s="1">
        <f>'[1]Electricity and CHPs_CAP'!F$24</f>
        <v>1.10867749769723E-3</v>
      </c>
      <c r="K1769" s="1">
        <f>'[1]Electricity and CHPs_CAP'!G$24</f>
        <v>8.6563650446493644E-4</v>
      </c>
    </row>
    <row r="1770" spans="2:11" x14ac:dyDescent="0.3">
      <c r="B1770" s="5" t="str">
        <f t="shared" si="1057"/>
        <v>SPS3</v>
      </c>
      <c r="C1770" s="5" t="str">
        <f t="shared" si="1100"/>
        <v>CH</v>
      </c>
      <c r="D1770" t="s">
        <v>1806</v>
      </c>
      <c r="E1770" t="str">
        <f t="shared" si="1095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1.24860165011013E-3</v>
      </c>
      <c r="K1770" s="1">
        <f>'[1]Electricity and CHPs_CAP'!G$29</f>
        <v>1.4323098140733238E-3</v>
      </c>
    </row>
    <row r="1771" spans="2:11" x14ac:dyDescent="0.3">
      <c r="B1771" s="5" t="str">
        <f t="shared" si="1057"/>
        <v>SPS3</v>
      </c>
      <c r="C1771" s="5" t="str">
        <f t="shared" si="1100"/>
        <v>CH</v>
      </c>
      <c r="D1771" t="s">
        <v>1807</v>
      </c>
      <c r="E1771" t="str">
        <f t="shared" si="1095"/>
        <v>GWe/yr.</v>
      </c>
      <c r="F1771" s="1">
        <f>'[1]Electricity and CHPs_CAP'!B$39</f>
        <v>2.4995720415838502E-2</v>
      </c>
      <c r="G1771" s="1">
        <f>'[1]Electricity and CHPs_CAP'!C$39</f>
        <v>1.8485987093146257E-2</v>
      </c>
      <c r="H1771" s="1">
        <f>'[1]Electricity and CHPs_CAP'!D$39</f>
        <v>1.1756912966303108E-2</v>
      </c>
      <c r="I1771" s="1">
        <f>'[1]Electricity and CHPs_CAP'!E$39</f>
        <v>5.52996192922817E-3</v>
      </c>
      <c r="J1771" s="1">
        <f>'[1]Electricity and CHPs_CAP'!F$39</f>
        <v>4.4896205822657857E-3</v>
      </c>
      <c r="K1771" s="1">
        <f>'[1]Electricity and CHPs_CAP'!G$39</f>
        <v>5.2062178790961665E-3</v>
      </c>
    </row>
    <row r="1772" spans="2:11" x14ac:dyDescent="0.3">
      <c r="B1772" s="5" t="str">
        <f t="shared" si="1057"/>
        <v>SPS3</v>
      </c>
      <c r="C1772" s="5" t="str">
        <f t="shared" si="1100"/>
        <v>CH</v>
      </c>
      <c r="D1772" t="s">
        <v>1808</v>
      </c>
      <c r="E1772" t="str">
        <f t="shared" si="1095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1.4362331495537499E-3</v>
      </c>
      <c r="K1772" s="1">
        <f>'[1]Electricity and CHPs_CAP'!G$40</f>
        <v>2.3389902386381106E-3</v>
      </c>
    </row>
    <row r="1773" spans="2:11" x14ac:dyDescent="0.3">
      <c r="B1773" s="5" t="str">
        <f t="shared" si="1057"/>
        <v>SPS3</v>
      </c>
      <c r="C1773" s="5" t="str">
        <f t="shared" si="1100"/>
        <v>CH</v>
      </c>
      <c r="D1773" t="s">
        <v>1809</v>
      </c>
      <c r="E1773" t="str">
        <f t="shared" si="1095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0</v>
      </c>
      <c r="J1773" s="1">
        <f>'[1]Electricity and CHPs_CAP'!F$47</f>
        <v>1.1666634267946792E-2</v>
      </c>
      <c r="K1773" s="1">
        <f>'[1]Electricity and CHPs_CAP'!G$47</f>
        <v>8.5078263425126931E-3</v>
      </c>
    </row>
    <row r="1774" spans="2:11" x14ac:dyDescent="0.3">
      <c r="B1774" s="5" t="str">
        <f t="shared" si="1057"/>
        <v>SPS3</v>
      </c>
      <c r="C1774" s="5" t="str">
        <f t="shared" si="1100"/>
        <v>CH</v>
      </c>
      <c r="D1774" t="s">
        <v>1810</v>
      </c>
      <c r="E1774" t="str">
        <f t="shared" si="1095"/>
        <v>GWe/yr.</v>
      </c>
      <c r="F1774" s="1">
        <f>'[1]Electricity and CHPs_CAP'!B$48</f>
        <v>4.1831968307109568E-3</v>
      </c>
      <c r="G1774" s="1">
        <f>'[1]Electricity and CHPs_CAP'!C$48</f>
        <v>6.2899677244512646E-4</v>
      </c>
      <c r="H1774" s="1">
        <f>'[1]Electricity and CHPs_CAP'!D$48</f>
        <v>7.4360253753012089E-4</v>
      </c>
      <c r="I1774" s="1">
        <f>'[1]Electricity and CHPs_CAP'!E$48</f>
        <v>4.8419096901906921E-6</v>
      </c>
      <c r="J1774" s="1">
        <f>'[1]Electricity and CHPs_CAP'!F$48</f>
        <v>1.9570602731298569E-3</v>
      </c>
      <c r="K1774" s="1">
        <f>'[1]Electricity and CHPs_CAP'!G$48</f>
        <v>1.7859379577234245E-3</v>
      </c>
    </row>
    <row r="1775" spans="2:11" x14ac:dyDescent="0.3">
      <c r="B1775" s="5" t="str">
        <f t="shared" si="1057"/>
        <v>SPS3</v>
      </c>
      <c r="C1775" s="5" t="str">
        <f t="shared" si="1100"/>
        <v>CH</v>
      </c>
      <c r="D1775" t="s">
        <v>1811</v>
      </c>
      <c r="E1775" t="str">
        <f t="shared" si="1095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4.1688238843417E-5</v>
      </c>
      <c r="J1775" s="1">
        <f>'[1]Electricity and CHPs_CAP'!F$49</f>
        <v>8.2445128953822274E-4</v>
      </c>
      <c r="K1775" s="1">
        <f>'[1]Electricity and CHPs_CAP'!G$49</f>
        <v>7.0717568801112907E-4</v>
      </c>
    </row>
    <row r="1776" spans="2:11" x14ac:dyDescent="0.3">
      <c r="B1776" s="5" t="str">
        <f t="shared" si="1057"/>
        <v>SPS3</v>
      </c>
      <c r="C1776" s="5" t="str">
        <f t="shared" si="1100"/>
        <v>CH</v>
      </c>
      <c r="D1776" t="s">
        <v>1812</v>
      </c>
      <c r="E1776" t="str">
        <f t="shared" si="1095"/>
        <v>GWe/yr.</v>
      </c>
      <c r="F1776" s="1">
        <f>'[1]Electricity and CHPs_CAP'!B$51</f>
        <v>1.1926362413130664E-2</v>
      </c>
      <c r="G1776" s="1">
        <f>'[1]Electricity and CHPs_CAP'!C$51</f>
        <v>7.5696036586499823E-4</v>
      </c>
      <c r="H1776" s="1">
        <f>'[1]Electricity and CHPs_CAP'!D$51</f>
        <v>2.2179783518800908E-3</v>
      </c>
      <c r="I1776" s="1">
        <f>'[1]Electricity and CHPs_CAP'!E$51</f>
        <v>5.1017115689547775E-6</v>
      </c>
      <c r="J1776" s="1">
        <f>'[1]Electricity and CHPs_CAP'!F$51</f>
        <v>6.537695159958784E-2</v>
      </c>
      <c r="K1776" s="1">
        <f>'[1]Electricity and CHPs_CAP'!G$51</f>
        <v>4.8723350336724397E-2</v>
      </c>
    </row>
    <row r="1777" spans="2:11" x14ac:dyDescent="0.3">
      <c r="B1777" s="5" t="str">
        <f t="shared" si="1057"/>
        <v>SPS3</v>
      </c>
      <c r="C1777" s="5" t="str">
        <f t="shared" si="1100"/>
        <v>CH</v>
      </c>
      <c r="D1777" t="s">
        <v>1813</v>
      </c>
      <c r="E1777" t="str">
        <f t="shared" si="1095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1.3637580994788008E-4</v>
      </c>
      <c r="J1777" s="1">
        <f>'[1]Electricity and CHPs_CAP'!F$52</f>
        <v>9.9447310352695877E-3</v>
      </c>
      <c r="K1777" s="1">
        <f>'[1]Electricity and CHPs_CAP'!G$52</f>
        <v>9.526968722421196E-3</v>
      </c>
    </row>
    <row r="1778" spans="2:11" x14ac:dyDescent="0.3">
      <c r="B1778" s="5" t="str">
        <f t="shared" si="1057"/>
        <v>SPS3</v>
      </c>
      <c r="C1778" s="5" t="str">
        <f t="shared" si="1100"/>
        <v>CH</v>
      </c>
      <c r="D1778" t="s">
        <v>1814</v>
      </c>
      <c r="E1778" t="str">
        <f t="shared" si="1095"/>
        <v>GWe/yr.</v>
      </c>
      <c r="F1778" s="1">
        <f>'[1]Electricity and CHPs_CAP'!B$54</f>
        <v>7.351198243817951E-2</v>
      </c>
      <c r="G1778" s="1">
        <f>'[1]Electricity and CHPs_CAP'!C$54</f>
        <v>8.4904615195932218E-2</v>
      </c>
      <c r="H1778" s="1">
        <f>'[1]Electricity and CHPs_CAP'!D$54</f>
        <v>8.4765475805950799E-2</v>
      </c>
      <c r="I1778" s="1">
        <f>'[1]Electricity and CHPs_CAP'!E$54</f>
        <v>8.4756521032349319E-2</v>
      </c>
      <c r="J1778" s="1">
        <f>'[1]Electricity and CHPs_CAP'!F$54</f>
        <v>0.16939546399036284</v>
      </c>
      <c r="K1778" s="1">
        <f>'[1]Electricity and CHPs_CAP'!G$54</f>
        <v>0.20354247801471359</v>
      </c>
    </row>
    <row r="1779" spans="2:11" x14ac:dyDescent="0.3">
      <c r="B1779" s="5" t="str">
        <f t="shared" si="1057"/>
        <v>SPS3</v>
      </c>
      <c r="C1779" s="5" t="str">
        <f t="shared" si="1100"/>
        <v>CH</v>
      </c>
      <c r="D1779" t="s">
        <v>1815</v>
      </c>
      <c r="E1779" t="str">
        <f t="shared" si="1095"/>
        <v>GWe/yr.</v>
      </c>
      <c r="F1779" s="1">
        <f>'[1]Electricity and CHPs_CAP'!B$55</f>
        <v>6.5199069864587789E-2</v>
      </c>
      <c r="G1779" s="1">
        <f>'[1]Electricity and CHPs_CAP'!C$55</f>
        <v>4.7902064996122908E-2</v>
      </c>
      <c r="H1779" s="1">
        <f>'[1]Electricity and CHPs_CAP'!D$55</f>
        <v>4.1064750531882993E-3</v>
      </c>
      <c r="I1779" s="1">
        <f>'[1]Electricity and CHPs_CAP'!E$55</f>
        <v>6.8329795469695975E-7</v>
      </c>
      <c r="J1779" s="1">
        <f>'[1]Electricity and CHPs_CAP'!F$55</f>
        <v>0.1717920537358425</v>
      </c>
      <c r="K1779" s="1">
        <f>'[1]Electricity and CHPs_CAP'!G$55</f>
        <v>4.7614272716400841E-4</v>
      </c>
    </row>
    <row r="1780" spans="2:11" x14ac:dyDescent="0.3">
      <c r="B1780" s="5" t="str">
        <f t="shared" ref="B1780:B1843" si="1101">B1779</f>
        <v>SPS3</v>
      </c>
      <c r="C1780" s="5" t="str">
        <f t="shared" ref="C1780" si="1102">C1779</f>
        <v>CH</v>
      </c>
      <c r="D1780" t="s">
        <v>1816</v>
      </c>
      <c r="E1780" t="str">
        <f t="shared" si="1095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4.9484412168788504E-6</v>
      </c>
      <c r="J1780" s="1">
        <f>'[1]Electricity and CHPs_CAP'!F$58</f>
        <v>4.9197242897773014E-3</v>
      </c>
      <c r="K1780" s="1">
        <f>'[1]Electricity and CHPs_CAP'!G$58</f>
        <v>3.3588768138715303E-3</v>
      </c>
    </row>
    <row r="1781" spans="2:11" x14ac:dyDescent="0.3">
      <c r="B1781" s="5" t="str">
        <f t="shared" si="1101"/>
        <v>SPS3</v>
      </c>
      <c r="C1781" s="5" t="str">
        <f>C1780</f>
        <v>CH</v>
      </c>
      <c r="D1781" t="s">
        <v>1817</v>
      </c>
      <c r="E1781" t="str">
        <f t="shared" si="1095"/>
        <v>GWe/yr.</v>
      </c>
      <c r="F1781" s="1">
        <f>SUM(F1782:F1787)</f>
        <v>0.39707395917183164</v>
      </c>
      <c r="G1781" s="1">
        <f t="shared" ref="G1781:K1781" si="1103">SUM(G1782:G1787)</f>
        <v>0.36301910554650801</v>
      </c>
      <c r="H1781" s="1">
        <f t="shared" si="1103"/>
        <v>0.36585006802953546</v>
      </c>
      <c r="I1781" s="1">
        <f t="shared" si="1103"/>
        <v>0.379449782463816</v>
      </c>
      <c r="J1781" s="1">
        <f t="shared" si="1103"/>
        <v>0.41330161157426959</v>
      </c>
      <c r="K1781" s="1">
        <f t="shared" si="1103"/>
        <v>0.4980748521609149</v>
      </c>
    </row>
    <row r="1782" spans="2:11" x14ac:dyDescent="0.3">
      <c r="B1782" s="5" t="str">
        <f t="shared" si="1101"/>
        <v>SPS3</v>
      </c>
      <c r="C1782" s="5" t="str">
        <f t="shared" ref="C1782:C1787" si="1104">C1781</f>
        <v>CH</v>
      </c>
      <c r="D1782" t="s">
        <v>1818</v>
      </c>
      <c r="E1782" t="str">
        <f t="shared" si="1095"/>
        <v>GWe/yr.</v>
      </c>
      <c r="F1782" s="1">
        <f>'[1]Electricity and CHPs_CAP'!B$19</f>
        <v>0.27376924014356618</v>
      </c>
      <c r="G1782" s="1">
        <f>'[1]Electricity and CHPs_CAP'!C$19</f>
        <v>0.27371253311438182</v>
      </c>
      <c r="H1782" s="1">
        <f>'[1]Electricity and CHPs_CAP'!D$19</f>
        <v>0.27657656017212434</v>
      </c>
      <c r="I1782" s="1">
        <f>'[1]Electricity and CHPs_CAP'!E$19</f>
        <v>0.27980813432444973</v>
      </c>
      <c r="J1782" s="1">
        <f>'[1]Electricity and CHPs_CAP'!F$19</f>
        <v>0.30121707039180351</v>
      </c>
      <c r="K1782" s="1">
        <f>'[1]Electricity and CHPs_CAP'!G$19</f>
        <v>0.19168736247084839</v>
      </c>
    </row>
    <row r="1783" spans="2:11" x14ac:dyDescent="0.3">
      <c r="B1783" s="5" t="str">
        <f t="shared" si="1101"/>
        <v>SPS3</v>
      </c>
      <c r="C1783" s="5" t="str">
        <f t="shared" si="1104"/>
        <v>CH</v>
      </c>
      <c r="D1783" t="s">
        <v>1819</v>
      </c>
      <c r="E1783" t="str">
        <f t="shared" si="1095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1.42467228061053E-2</v>
      </c>
      <c r="K1783" s="1">
        <f>'[1]Electricity and CHPs_CAP'!G$20</f>
        <v>0.16579316663061341</v>
      </c>
    </row>
    <row r="1784" spans="2:11" x14ac:dyDescent="0.3">
      <c r="B1784" s="5" t="str">
        <f t="shared" si="1101"/>
        <v>SPS3</v>
      </c>
      <c r="C1784" s="5" t="str">
        <f t="shared" si="1104"/>
        <v>CH</v>
      </c>
      <c r="D1784" t="s">
        <v>1820</v>
      </c>
      <c r="E1784" t="str">
        <f t="shared" si="1095"/>
        <v>GWe/yr.</v>
      </c>
      <c r="F1784" s="1">
        <f>'[1]Electricity and CHPs_CAP'!B$26</f>
        <v>7.6807136443232144E-2</v>
      </c>
      <c r="G1784" s="1">
        <f>'[1]Electricity and CHPs_CAP'!C$26</f>
        <v>7.2094911490364261E-2</v>
      </c>
      <c r="H1784" s="1">
        <f>'[1]Electricity and CHPs_CAP'!D$26</f>
        <v>7.2067044387858534E-2</v>
      </c>
      <c r="I1784" s="1">
        <f>'[1]Electricity and CHPs_CAP'!E$26</f>
        <v>7.1271039921174811E-2</v>
      </c>
      <c r="J1784" s="1">
        <f>'[1]Electricity and CHPs_CAP'!F$26</f>
        <v>6.091735040708695E-2</v>
      </c>
      <c r="K1784" s="1">
        <f>'[1]Electricity and CHPs_CAP'!G$26</f>
        <v>3.2771694357404485E-2</v>
      </c>
    </row>
    <row r="1785" spans="2:11" x14ac:dyDescent="0.3">
      <c r="B1785" s="5" t="str">
        <f t="shared" si="1101"/>
        <v>SPS3</v>
      </c>
      <c r="C1785" s="5" t="str">
        <f t="shared" si="1104"/>
        <v>CH</v>
      </c>
      <c r="D1785" t="s">
        <v>1821</v>
      </c>
      <c r="E1785" t="str">
        <f t="shared" si="1095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9.5448211282578698E-3</v>
      </c>
      <c r="K1785" s="1">
        <f>'[1]Electricity and CHPs_CAP'!G$27</f>
        <v>4.7184666076219885E-2</v>
      </c>
    </row>
    <row r="1786" spans="2:11" x14ac:dyDescent="0.3">
      <c r="B1786" s="5" t="str">
        <f t="shared" si="1101"/>
        <v>SPS3</v>
      </c>
      <c r="C1786" s="5" t="str">
        <f t="shared" si="1104"/>
        <v>CH</v>
      </c>
      <c r="D1786" t="s">
        <v>1822</v>
      </c>
      <c r="E1786" t="str">
        <f t="shared" si="1095"/>
        <v>GWe/yr.</v>
      </c>
      <c r="F1786" s="1">
        <f>'[1]Electricity and CHPs_CAP'!B$44</f>
        <v>4.6497582585033309E-2</v>
      </c>
      <c r="G1786" s="1">
        <f>'[1]Electricity and CHPs_CAP'!C$44</f>
        <v>1.7211660941761894E-2</v>
      </c>
      <c r="H1786" s="1">
        <f>'[1]Electricity and CHPs_CAP'!D$44</f>
        <v>1.7206463469552583E-2</v>
      </c>
      <c r="I1786" s="1">
        <f>'[1]Electricity and CHPs_CAP'!E$44</f>
        <v>2.8370608218191495E-2</v>
      </c>
      <c r="J1786" s="1">
        <f>'[1]Electricity and CHPs_CAP'!F$44</f>
        <v>2.6132895190014913E-2</v>
      </c>
      <c r="K1786" s="1">
        <f>'[1]Electricity and CHPs_CAP'!G$44</f>
        <v>8.4727256388531999E-4</v>
      </c>
    </row>
    <row r="1787" spans="2:11" x14ac:dyDescent="0.3">
      <c r="B1787" s="5" t="str">
        <f t="shared" si="1101"/>
        <v>SPS3</v>
      </c>
      <c r="C1787" s="5" t="str">
        <f t="shared" si="1104"/>
        <v>CH</v>
      </c>
      <c r="D1787" t="s">
        <v>1823</v>
      </c>
      <c r="E1787" t="str">
        <f t="shared" si="1095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1.2427516510010101E-3</v>
      </c>
      <c r="K1787" s="1">
        <f>'[1]Electricity and CHPs_CAP'!G$45</f>
        <v>5.9790690061943423E-2</v>
      </c>
    </row>
    <row r="1788" spans="2:11" x14ac:dyDescent="0.3">
      <c r="B1788" s="5" t="str">
        <f t="shared" si="1101"/>
        <v>SPS3</v>
      </c>
      <c r="C1788" s="5" t="str">
        <f>C1787</f>
        <v>CH</v>
      </c>
      <c r="D1788" t="s">
        <v>1824</v>
      </c>
      <c r="E1788" t="str">
        <f t="shared" si="1095"/>
        <v>GWe/yr.</v>
      </c>
      <c r="F1788" s="1">
        <f>SUM(F1789:F1795)</f>
        <v>3.2458365810736543E-2</v>
      </c>
      <c r="G1788" s="1">
        <f t="shared" ref="G1788:K1788" si="1105">SUM(G1789:G1795)</f>
        <v>3.3729212055885707E-2</v>
      </c>
      <c r="H1788" s="1">
        <f t="shared" si="1105"/>
        <v>5.657869188091276E-2</v>
      </c>
      <c r="I1788" s="1">
        <f t="shared" si="1105"/>
        <v>8.4015158605689352E-2</v>
      </c>
      <c r="J1788" s="1">
        <f t="shared" si="1105"/>
        <v>0.26997032149698541</v>
      </c>
      <c r="K1788" s="1">
        <f t="shared" si="1105"/>
        <v>0.29768241933840595</v>
      </c>
    </row>
    <row r="1789" spans="2:11" x14ac:dyDescent="0.3">
      <c r="B1789" s="5" t="str">
        <f t="shared" si="1101"/>
        <v>SPS3</v>
      </c>
      <c r="C1789" s="5" t="str">
        <f t="shared" ref="C1789:C1799" si="1106">C1788</f>
        <v>CH</v>
      </c>
      <c r="D1789" t="s">
        <v>1825</v>
      </c>
      <c r="E1789" t="str">
        <f t="shared" si="1095"/>
        <v>GWe/yr.</v>
      </c>
      <c r="F1789" s="1">
        <f>'[1]Electricity and CHPs_CAP'!B$25</f>
        <v>1.9717987312919003E-2</v>
      </c>
      <c r="G1789" s="1">
        <f>'[1]Electricity and CHPs_CAP'!C$25</f>
        <v>1.4388327798144959E-2</v>
      </c>
      <c r="H1789" s="1">
        <f>'[1]Electricity and CHPs_CAP'!D$25</f>
        <v>1.4436960237928384E-2</v>
      </c>
      <c r="I1789" s="1">
        <f>'[1]Electricity and CHPs_CAP'!E$25</f>
        <v>2.5712902132140475E-4</v>
      </c>
      <c r="J1789" s="1">
        <f>'[1]Electricity and CHPs_CAP'!F$25</f>
        <v>5.6471763184344034E-2</v>
      </c>
      <c r="K1789" s="1">
        <f>'[1]Electricity and CHPs_CAP'!G$25</f>
        <v>9.946960010081142E-2</v>
      </c>
    </row>
    <row r="1790" spans="2:11" x14ac:dyDescent="0.3">
      <c r="B1790" s="5" t="str">
        <f t="shared" si="1101"/>
        <v>SPS3</v>
      </c>
      <c r="C1790" s="5" t="str">
        <f t="shared" si="1106"/>
        <v>CH</v>
      </c>
      <c r="D1790" t="s">
        <v>1826</v>
      </c>
      <c r="E1790" t="str">
        <f t="shared" si="1095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1.0947532132440799E-3</v>
      </c>
      <c r="K1790" s="1">
        <f>'[1]Electricity and CHPs_CAP'!G$31</f>
        <v>2.0468795270294628E-2</v>
      </c>
    </row>
    <row r="1791" spans="2:11" x14ac:dyDescent="0.3">
      <c r="B1791" s="5" t="str">
        <f t="shared" si="1101"/>
        <v>SPS3</v>
      </c>
      <c r="C1791" s="5" t="str">
        <f t="shared" si="1106"/>
        <v>CH</v>
      </c>
      <c r="D1791" t="s">
        <v>1827</v>
      </c>
      <c r="E1791" t="str">
        <f t="shared" si="1095"/>
        <v>GWe/yr.</v>
      </c>
      <c r="F1791" s="1">
        <f>'[1]Electricity and CHPs_CAP'!B$42</f>
        <v>1.2740378497817541E-2</v>
      </c>
      <c r="G1791" s="1">
        <f>'[1]Electricity and CHPs_CAP'!C$42</f>
        <v>1.9340884257740745E-2</v>
      </c>
      <c r="H1791" s="1">
        <f>'[1]Electricity and CHPs_CAP'!D$42</f>
        <v>4.2141731642984376E-2</v>
      </c>
      <c r="I1791" s="1">
        <f>'[1]Electricity and CHPs_CAP'!E$42</f>
        <v>8.2865733696238605E-2</v>
      </c>
      <c r="J1791" s="1">
        <f>'[1]Electricity and CHPs_CAP'!F$42</f>
        <v>8.6322431742809222E-2</v>
      </c>
      <c r="K1791" s="1">
        <f>'[1]Electricity and CHPs_CAP'!G$42</f>
        <v>2.3180314126974039E-2</v>
      </c>
    </row>
    <row r="1792" spans="2:11" x14ac:dyDescent="0.3">
      <c r="B1792" s="5" t="str">
        <f t="shared" si="1101"/>
        <v>SPS3</v>
      </c>
      <c r="C1792" s="5" t="str">
        <f t="shared" si="1106"/>
        <v>CH</v>
      </c>
      <c r="D1792" t="s">
        <v>1828</v>
      </c>
      <c r="E1792" t="str">
        <f t="shared" si="1095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0.119247903172018</v>
      </c>
      <c r="K1792" s="1">
        <f>'[1]Electricity and CHPs_CAP'!G$43</f>
        <v>0.15164682380884001</v>
      </c>
    </row>
    <row r="1793" spans="2:11" x14ac:dyDescent="0.3">
      <c r="B1793" s="5" t="str">
        <f t="shared" si="1101"/>
        <v>SPS3</v>
      </c>
      <c r="C1793" s="5" t="str">
        <f t="shared" si="1106"/>
        <v>CH</v>
      </c>
      <c r="D1793" t="s">
        <v>1829</v>
      </c>
      <c r="E1793" t="str">
        <f t="shared" si="1095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2.9500543618388403E-4</v>
      </c>
      <c r="J1793" s="1">
        <f>'[1]Electricity and CHPs_CAP'!F$50</f>
        <v>1.5967948097043972E-3</v>
      </c>
      <c r="K1793" s="1">
        <f>'[1]Electricity and CHPs_CAP'!G$50</f>
        <v>7.3656101704771095E-4</v>
      </c>
    </row>
    <row r="1794" spans="2:11" x14ac:dyDescent="0.3">
      <c r="B1794" s="5" t="str">
        <f t="shared" si="1101"/>
        <v>SPS3</v>
      </c>
      <c r="C1794" s="5" t="str">
        <f t="shared" si="1106"/>
        <v>CH</v>
      </c>
      <c r="D1794" t="s">
        <v>1830</v>
      </c>
      <c r="E1794" t="str">
        <f t="shared" si="1095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4.9947589922223398E-4</v>
      </c>
      <c r="J1794" s="1">
        <f>'[1]Electricity and CHPs_CAP'!F$53</f>
        <v>3.4288422533382216E-3</v>
      </c>
      <c r="K1794" s="1">
        <f>'[1]Electricity and CHPs_CAP'!G$53</f>
        <v>1.5660599813086386E-3</v>
      </c>
    </row>
    <row r="1795" spans="2:11" x14ac:dyDescent="0.3">
      <c r="B1795" s="5" t="str">
        <f t="shared" si="1101"/>
        <v>SPS3</v>
      </c>
      <c r="C1795" s="5" t="str">
        <f t="shared" si="1106"/>
        <v>CH</v>
      </c>
      <c r="D1795" t="s">
        <v>1831</v>
      </c>
      <c r="E1795" t="str">
        <f t="shared" si="1095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9.7814552723228605E-5</v>
      </c>
      <c r="J1795" s="1">
        <f>'[1]Electricity and CHPs_CAP'!F$56</f>
        <v>1.8078331215274778E-3</v>
      </c>
      <c r="K1795" s="1">
        <f>'[1]Electricity and CHPs_CAP'!G$56</f>
        <v>6.1426503312946598E-4</v>
      </c>
    </row>
    <row r="1796" spans="2:11" x14ac:dyDescent="0.3">
      <c r="B1796" s="5" t="str">
        <f t="shared" si="1101"/>
        <v>SPS3</v>
      </c>
      <c r="C1796" s="5" t="str">
        <f t="shared" si="1106"/>
        <v>CH</v>
      </c>
      <c r="D1796" t="s">
        <v>1832</v>
      </c>
      <c r="E1796" t="str">
        <f t="shared" si="1095"/>
        <v>GWe/yr.</v>
      </c>
      <c r="F1796" s="1">
        <f>F1797</f>
        <v>8.7120000000000003E-2</v>
      </c>
      <c r="G1796" s="1">
        <f t="shared" ref="G1796:K1796" si="1107">G1797</f>
        <v>9.0660024588796642E-2</v>
      </c>
      <c r="H1796" s="1">
        <f t="shared" si="1107"/>
        <v>0.1751936156707796</v>
      </c>
      <c r="I1796" s="1">
        <f t="shared" si="1107"/>
        <v>0.3408760508966503</v>
      </c>
      <c r="J1796" s="1">
        <f t="shared" si="1107"/>
        <v>0.83471227382623769</v>
      </c>
      <c r="K1796" s="1">
        <f t="shared" si="1107"/>
        <v>1.01751010360399</v>
      </c>
    </row>
    <row r="1797" spans="2:11" x14ac:dyDescent="0.3">
      <c r="B1797" s="5" t="str">
        <f t="shared" si="1101"/>
        <v>SPS3</v>
      </c>
      <c r="C1797" s="5" t="str">
        <f t="shared" si="1106"/>
        <v>CH</v>
      </c>
      <c r="D1797" t="s">
        <v>1833</v>
      </c>
      <c r="E1797" t="str">
        <f t="shared" si="1095"/>
        <v>GWe/yr.</v>
      </c>
      <c r="F1797" s="1">
        <f>'[1]Electricity and CHPs_CAP'!B$33</f>
        <v>8.7120000000000003E-2</v>
      </c>
      <c r="G1797" s="1">
        <f>'[1]Electricity and CHPs_CAP'!C$33</f>
        <v>9.0660024588796642E-2</v>
      </c>
      <c r="H1797" s="1">
        <f>'[1]Electricity and CHPs_CAP'!D$33</f>
        <v>0.1751936156707796</v>
      </c>
      <c r="I1797" s="1">
        <f>'[1]Electricity and CHPs_CAP'!E$33</f>
        <v>0.3408760508966503</v>
      </c>
      <c r="J1797" s="1">
        <f>'[1]Electricity and CHPs_CAP'!F$33</f>
        <v>0.83471227382623769</v>
      </c>
      <c r="K1797" s="1">
        <f>'[1]Electricity and CHPs_CAP'!G$33</f>
        <v>1.01751010360399</v>
      </c>
    </row>
    <row r="1798" spans="2:11" x14ac:dyDescent="0.3">
      <c r="B1798" s="5" t="str">
        <f t="shared" si="1101"/>
        <v>SPS3</v>
      </c>
      <c r="C1798" s="5" t="str">
        <f t="shared" si="1106"/>
        <v>CH</v>
      </c>
      <c r="D1798" t="s">
        <v>1834</v>
      </c>
      <c r="E1798" t="str">
        <f t="shared" si="1095"/>
        <v>GWe/yr.</v>
      </c>
      <c r="F1798" s="1">
        <f>SUM(F1799:F1803)</f>
        <v>2.9746549999999998</v>
      </c>
      <c r="G1798" s="1">
        <f t="shared" ref="G1798:K1798" si="1108">SUM(G1799:G1803)</f>
        <v>4.3708953416936351</v>
      </c>
      <c r="H1798" s="1">
        <f t="shared" si="1108"/>
        <v>9.1888986456978188</v>
      </c>
      <c r="I1798" s="1">
        <f t="shared" si="1108"/>
        <v>9.0298337006505864</v>
      </c>
      <c r="J1798" s="1">
        <f t="shared" si="1108"/>
        <v>17.490391500063005</v>
      </c>
      <c r="K1798" s="1">
        <f t="shared" si="1108"/>
        <v>25.950451019993363</v>
      </c>
    </row>
    <row r="1799" spans="2:11" x14ac:dyDescent="0.3">
      <c r="B1799" s="5" t="str">
        <f t="shared" si="1101"/>
        <v>SPS3</v>
      </c>
      <c r="C1799" s="5" t="str">
        <f t="shared" si="1106"/>
        <v>CH</v>
      </c>
      <c r="D1799" t="s">
        <v>1835</v>
      </c>
      <c r="E1799" t="str">
        <f t="shared" si="1095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1.6951471436908401E-2</v>
      </c>
      <c r="I1799" s="1">
        <f>'[1]Electricity and CHPs_CAP'!E$34</f>
        <v>1.6967153061841347E-2</v>
      </c>
      <c r="J1799" s="1">
        <f>'[1]Electricity and CHPs_CAP'!F$34</f>
        <v>0.60086681757110105</v>
      </c>
      <c r="K1799" s="1">
        <f>'[1]Electricity and CHPs_CAP'!G$34</f>
        <v>2.2294989236324221</v>
      </c>
    </row>
    <row r="1800" spans="2:11" x14ac:dyDescent="0.3">
      <c r="B1800" s="5" t="str">
        <f t="shared" si="1101"/>
        <v>SPS3</v>
      </c>
      <c r="C1800" s="5" t="str">
        <f t="shared" ref="C1800:C1815" si="1109">C1799</f>
        <v>CH</v>
      </c>
      <c r="D1800" t="s">
        <v>1836</v>
      </c>
      <c r="E1800" t="str">
        <f t="shared" si="1095"/>
        <v>GWe/yr.</v>
      </c>
      <c r="F1800" s="1">
        <f>'[1]Electricity and CHPs_CAP'!B$35</f>
        <v>1.1186210000000001</v>
      </c>
      <c r="G1800" s="1">
        <f>'[1]Electricity and CHPs_CAP'!C$35</f>
        <v>1.6529270686211699</v>
      </c>
      <c r="H1800" s="1">
        <f>'[1]Electricity and CHPs_CAP'!D$35</f>
        <v>3.5611804028410496</v>
      </c>
      <c r="I1800" s="1">
        <f>'[1]Electricity and CHPs_CAP'!E$35</f>
        <v>3.5352473321332401</v>
      </c>
      <c r="J1800" s="1">
        <f>'[1]Electricity and CHPs_CAP'!F$35</f>
        <v>11.775061890227436</v>
      </c>
      <c r="K1800" s="1">
        <f>'[1]Electricity and CHPs_CAP'!G$35</f>
        <v>18.551331979472099</v>
      </c>
    </row>
    <row r="1801" spans="2:11" x14ac:dyDescent="0.3">
      <c r="B1801" s="5" t="str">
        <f t="shared" si="1101"/>
        <v>SPS3</v>
      </c>
      <c r="C1801" s="5" t="str">
        <f t="shared" si="1109"/>
        <v>CH</v>
      </c>
      <c r="D1801" t="s">
        <v>1837</v>
      </c>
      <c r="E1801" t="str">
        <f t="shared" si="1095"/>
        <v>GWe/yr.</v>
      </c>
      <c r="F1801" s="1">
        <f>'[1]Electricity and CHPs_CAP'!B$36</f>
        <v>0.67885700000000004</v>
      </c>
      <c r="G1801" s="1">
        <f>'[1]Electricity and CHPs_CAP'!C$36</f>
        <v>1.1559107101132875</v>
      </c>
      <c r="H1801" s="1">
        <f>'[1]Electricity and CHPs_CAP'!D$36</f>
        <v>1.2952588280485555</v>
      </c>
      <c r="I1801" s="1">
        <f>'[1]Electricity and CHPs_CAP'!E$36</f>
        <v>1.2583869356139528</v>
      </c>
      <c r="J1801" s="1">
        <f>'[1]Electricity and CHPs_CAP'!F$36</f>
        <v>0.45332789566584669</v>
      </c>
      <c r="K1801" s="1">
        <f>'[1]Electricity and CHPs_CAP'!G$36</f>
        <v>2.0497155460110002E-2</v>
      </c>
    </row>
    <row r="1802" spans="2:11" x14ac:dyDescent="0.3">
      <c r="B1802" s="5" t="str">
        <f t="shared" si="1101"/>
        <v>SPS3</v>
      </c>
      <c r="C1802" s="5" t="str">
        <f t="shared" si="1109"/>
        <v>CH</v>
      </c>
      <c r="D1802" t="s">
        <v>1838</v>
      </c>
      <c r="E1802" t="str">
        <f t="shared" si="1095"/>
        <v>GWe/yr.</v>
      </c>
      <c r="F1802" s="1">
        <f>'[1]Electricity and CHPs_CAP'!B$37</f>
        <v>0.27424799999999999</v>
      </c>
      <c r="G1802" s="1">
        <f>'[1]Electricity and CHPs_CAP'!C$37</f>
        <v>0.43895624780918951</v>
      </c>
      <c r="H1802" s="1">
        <f>'[1]Electricity and CHPs_CAP'!D$37</f>
        <v>1.1361216818974336</v>
      </c>
      <c r="I1802" s="1">
        <f>'[1]Electricity and CHPs_CAP'!E$37</f>
        <v>1.1244088970046331</v>
      </c>
      <c r="J1802" s="1">
        <f>'[1]Electricity and CHPs_CAP'!F$37</f>
        <v>1.242187432582641</v>
      </c>
      <c r="K1802" s="1">
        <f>'[1]Electricity and CHPs_CAP'!G$37</f>
        <v>1.372289320494668</v>
      </c>
    </row>
    <row r="1803" spans="2:11" x14ac:dyDescent="0.3">
      <c r="B1803" s="5" t="str">
        <f t="shared" si="1101"/>
        <v>SPS3</v>
      </c>
      <c r="C1803" s="5" t="str">
        <f t="shared" si="1109"/>
        <v>CH</v>
      </c>
      <c r="D1803" t="s">
        <v>1839</v>
      </c>
      <c r="E1803" t="str">
        <f t="shared" si="1095"/>
        <v>GWe/yr.</v>
      </c>
      <c r="F1803" s="1">
        <f>'[1]Electricity and CHPs_CAP'!B$38</f>
        <v>0.90292899999999998</v>
      </c>
      <c r="G1803" s="1">
        <f>'[1]Electricity and CHPs_CAP'!C$38</f>
        <v>1.1231013151499882</v>
      </c>
      <c r="H1803" s="1">
        <f>'[1]Electricity and CHPs_CAP'!D$38</f>
        <v>3.1793862614738702</v>
      </c>
      <c r="I1803" s="1">
        <f>'[1]Electricity and CHPs_CAP'!E$38</f>
        <v>3.0948233828369198</v>
      </c>
      <c r="J1803" s="1">
        <f>'[1]Electricity and CHPs_CAP'!F$38</f>
        <v>3.4189474640159792</v>
      </c>
      <c r="K1803" s="1">
        <f>'[1]Electricity and CHPs_CAP'!G$38</f>
        <v>3.7768336409340599</v>
      </c>
    </row>
    <row r="1804" spans="2:11" x14ac:dyDescent="0.3">
      <c r="B1804" s="5" t="str">
        <f t="shared" si="1101"/>
        <v>SPS3</v>
      </c>
      <c r="C1804" s="5" t="str">
        <f>C1807</f>
        <v>CH</v>
      </c>
      <c r="D1804" t="s">
        <v>1840</v>
      </c>
      <c r="E1804" t="str">
        <f t="shared" si="1095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9.9577281970606807E-7</v>
      </c>
      <c r="K1804" s="1">
        <f>'[1]Electricity and CHPs_CAP'!G$32</f>
        <v>1.0915680042655849E-6</v>
      </c>
    </row>
    <row r="1805" spans="2:11" x14ac:dyDescent="0.3">
      <c r="B1805" s="5" t="str">
        <f t="shared" si="1101"/>
        <v>SPS3</v>
      </c>
      <c r="C1805" s="5" t="str">
        <f t="shared" ref="C1805" si="1110">C1804</f>
        <v>CH</v>
      </c>
      <c r="D1805" t="s">
        <v>1841</v>
      </c>
      <c r="E1805" t="str">
        <f t="shared" si="1095"/>
        <v>GWe/yr.</v>
      </c>
      <c r="F1805" s="1">
        <f>F1804</f>
        <v>0</v>
      </c>
      <c r="G1805" s="1">
        <f t="shared" ref="G1805:K1805" si="1111">G1804</f>
        <v>0</v>
      </c>
      <c r="H1805" s="1">
        <f t="shared" si="1111"/>
        <v>0</v>
      </c>
      <c r="I1805" s="1">
        <f t="shared" si="1111"/>
        <v>0</v>
      </c>
      <c r="J1805" s="1">
        <f t="shared" si="1111"/>
        <v>9.9577281970606807E-7</v>
      </c>
      <c r="K1805" s="1">
        <f t="shared" si="1111"/>
        <v>1.0915680042655849E-6</v>
      </c>
    </row>
    <row r="1806" spans="2:11" x14ac:dyDescent="0.3">
      <c r="B1806" s="5" t="str">
        <f t="shared" si="1101"/>
        <v>SPS3</v>
      </c>
      <c r="C1806" s="5" t="str">
        <f>C1803</f>
        <v>CH</v>
      </c>
      <c r="D1806" t="s">
        <v>1842</v>
      </c>
      <c r="E1806" t="str">
        <f t="shared" si="1095"/>
        <v>GWe/yr.</v>
      </c>
      <c r="F1806" s="1">
        <f t="shared" ref="F1806:K1806" si="1112">SUM(F1807:F1809)</f>
        <v>0</v>
      </c>
      <c r="G1806" s="1">
        <f t="shared" si="1112"/>
        <v>0</v>
      </c>
      <c r="H1806" s="1">
        <f t="shared" si="1112"/>
        <v>0</v>
      </c>
      <c r="I1806" s="1">
        <f t="shared" si="1112"/>
        <v>2.7337757247883099E-4</v>
      </c>
      <c r="J1806" s="1">
        <f t="shared" si="1112"/>
        <v>2.9026090702216601E-3</v>
      </c>
      <c r="K1806" s="1">
        <f t="shared" si="1112"/>
        <v>0.19827135280009928</v>
      </c>
    </row>
    <row r="1807" spans="2:11" x14ac:dyDescent="0.3">
      <c r="B1807" s="5" t="str">
        <f t="shared" si="1101"/>
        <v>SPS3</v>
      </c>
      <c r="C1807" s="5" t="str">
        <f t="shared" si="1109"/>
        <v>CH</v>
      </c>
      <c r="D1807" t="s">
        <v>1843</v>
      </c>
      <c r="E1807" t="str">
        <f t="shared" si="1095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8.3781618637900903E-4</v>
      </c>
      <c r="K1807" s="1">
        <f>'[1]Electricity and CHPs_CAP'!G$30</f>
        <v>1.1383399687612931E-2</v>
      </c>
    </row>
    <row r="1808" spans="2:11" x14ac:dyDescent="0.3">
      <c r="B1808" s="5" t="str">
        <f t="shared" si="1101"/>
        <v>SPS3</v>
      </c>
      <c r="C1808" s="5" t="str">
        <f>C1804</f>
        <v>CH</v>
      </c>
      <c r="D1808" t="s">
        <v>1844</v>
      </c>
      <c r="E1808" t="str">
        <f t="shared" si="1095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0</v>
      </c>
      <c r="J1808" s="1">
        <f>'[1]Electricity and CHPs_CAP'!F$46</f>
        <v>1.4404716120832439E-3</v>
      </c>
      <c r="K1808" s="1">
        <f>'[1]Electricity and CHPs_CAP'!G$46</f>
        <v>0.18490118204632081</v>
      </c>
    </row>
    <row r="1809" spans="2:11" x14ac:dyDescent="0.3">
      <c r="B1809" s="5" t="str">
        <f t="shared" si="1101"/>
        <v>SPS3</v>
      </c>
      <c r="C1809" s="5" t="str">
        <f t="shared" si="1109"/>
        <v>CH</v>
      </c>
      <c r="D1809" t="s">
        <v>1845</v>
      </c>
      <c r="E1809" t="str">
        <f t="shared" si="1095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2.7337757247883099E-4</v>
      </c>
      <c r="J1809" s="1">
        <f>'[1]Electricity and CHPs_CAP'!F$57</f>
        <v>6.2432127175940713E-4</v>
      </c>
      <c r="K1809" s="1">
        <f>'[1]Electricity and CHPs_CAP'!G$57</f>
        <v>1.9867710661655553E-3</v>
      </c>
    </row>
    <row r="1810" spans="2:11" x14ac:dyDescent="0.3">
      <c r="B1810" s="5" t="str">
        <f t="shared" si="1101"/>
        <v>SPS3</v>
      </c>
      <c r="C1810" s="5" t="str">
        <f t="shared" si="1109"/>
        <v>CH</v>
      </c>
      <c r="D1810" t="s">
        <v>1846</v>
      </c>
      <c r="E1810" t="str">
        <f t="shared" si="1095"/>
        <v>GWe/yr.</v>
      </c>
      <c r="F1810" s="1">
        <f>SUM(F1811:F1817)</f>
        <v>0.13770491512186844</v>
      </c>
      <c r="G1810" s="1">
        <f t="shared" ref="G1810:K1810" si="1113">SUM(G1811:G1817)</f>
        <v>0.13748904257348898</v>
      </c>
      <c r="H1810" s="1">
        <f t="shared" si="1113"/>
        <v>0.13770326603325556</v>
      </c>
      <c r="I1810" s="1">
        <f t="shared" si="1113"/>
        <v>0.20904345931770424</v>
      </c>
      <c r="J1810" s="1">
        <f t="shared" si="1113"/>
        <v>0.31578867776345704</v>
      </c>
      <c r="K1810" s="1">
        <f t="shared" si="1113"/>
        <v>1.3469859583207144</v>
      </c>
    </row>
    <row r="1811" spans="2:11" x14ac:dyDescent="0.3">
      <c r="B1811" s="5" t="str">
        <f t="shared" si="1101"/>
        <v>SPS3</v>
      </c>
      <c r="C1811" s="5" t="str">
        <f t="shared" si="1109"/>
        <v>CH</v>
      </c>
      <c r="D1811" t="s">
        <v>1847</v>
      </c>
      <c r="E1811" t="str">
        <f t="shared" si="1095"/>
        <v>GWe/yr.</v>
      </c>
      <c r="F1811" s="1">
        <f>'[1]Electricity and CHPs_CAP'!B$63</f>
        <v>0.1</v>
      </c>
      <c r="G1811" s="1">
        <f>'[1]Electricity and CHPs_CAP'!C$63</f>
        <v>9.9755193850200222E-2</v>
      </c>
      <c r="H1811" s="1">
        <f>'[1]Electricity and CHPs_CAP'!D$63</f>
        <v>9.9752811191721039E-2</v>
      </c>
      <c r="I1811" s="1">
        <f>'[1]Electricity and CHPs_CAP'!E$63</f>
        <v>9.9748887833030569E-2</v>
      </c>
      <c r="J1811" s="1">
        <f>'[1]Electricity and CHPs_CAP'!F$63</f>
        <v>9.9756725891707101E-2</v>
      </c>
      <c r="K1811" s="1">
        <f>'[1]Electricity and CHPs_CAP'!G$63</f>
        <v>9.9987540866037741E-2</v>
      </c>
    </row>
    <row r="1812" spans="2:11" x14ac:dyDescent="0.3">
      <c r="B1812" s="5" t="str">
        <f t="shared" si="1101"/>
        <v>SPS3</v>
      </c>
      <c r="C1812" s="5" t="str">
        <f t="shared" si="1109"/>
        <v>CH</v>
      </c>
      <c r="D1812" t="s">
        <v>1848</v>
      </c>
      <c r="E1812" t="str">
        <f t="shared" si="1095"/>
        <v>GWe/yr.</v>
      </c>
      <c r="F1812" s="1">
        <f>'[1]Electricity and CHPs_CAP'!B$64</f>
        <v>6.3974375621535101E-3</v>
      </c>
      <c r="G1812" s="1">
        <f>'[1]Electricity and CHPs_CAP'!C$64</f>
        <v>6.4014427519739963E-3</v>
      </c>
      <c r="H1812" s="1">
        <f>'[1]Electricity and CHPs_CAP'!D$64</f>
        <v>6.4283905461483201E-3</v>
      </c>
      <c r="I1812" s="1">
        <f>'[1]Electricity and CHPs_CAP'!E$64</f>
        <v>4.681036908063485E-3</v>
      </c>
      <c r="J1812" s="1">
        <f>'[1]Electricity and CHPs_CAP'!F$64</f>
        <v>1.0263689700674043E-2</v>
      </c>
      <c r="K1812" s="1">
        <f>'[1]Electricity and CHPs_CAP'!G$64</f>
        <v>0.86401581077771239</v>
      </c>
    </row>
    <row r="1813" spans="2:11" x14ac:dyDescent="0.3">
      <c r="B1813" s="5" t="str">
        <f t="shared" si="1101"/>
        <v>SPS3</v>
      </c>
      <c r="C1813" s="5" t="str">
        <f t="shared" si="1109"/>
        <v>CH</v>
      </c>
      <c r="D1813" t="s">
        <v>1849</v>
      </c>
      <c r="E1813" t="str">
        <f t="shared" si="1095"/>
        <v>GWe/yr.</v>
      </c>
      <c r="F1813" s="1">
        <f>'[1]Electricity and CHPs_CAP'!B$65</f>
        <v>4.7666792010253398E-3</v>
      </c>
      <c r="G1813" s="1">
        <f>'[1]Electricity and CHPs_CAP'!C$65</f>
        <v>4.7701317157778237E-3</v>
      </c>
      <c r="H1813" s="1">
        <f>'[1]Electricity and CHPs_CAP'!D$65</f>
        <v>4.7898443880513304E-3</v>
      </c>
      <c r="I1813" s="1">
        <f>'[1]Electricity and CHPs_CAP'!E$65</f>
        <v>3.4947204650362424E-3</v>
      </c>
      <c r="J1813" s="1">
        <f>'[1]Electricity and CHPs_CAP'!F$65</f>
        <v>8.10874975157529E-3</v>
      </c>
      <c r="K1813" s="1">
        <f>'[1]Electricity and CHPs_CAP'!G$65</f>
        <v>9.8175237545926566E-2</v>
      </c>
    </row>
    <row r="1814" spans="2:11" x14ac:dyDescent="0.3">
      <c r="B1814" s="5" t="str">
        <f t="shared" si="1101"/>
        <v>SPS3</v>
      </c>
      <c r="C1814" s="5" t="str">
        <f t="shared" si="1109"/>
        <v>CH</v>
      </c>
      <c r="D1814" t="s">
        <v>1850</v>
      </c>
      <c r="E1814" t="str">
        <f t="shared" si="1095"/>
        <v>GWe/yr.</v>
      </c>
      <c r="F1814" s="1">
        <f>'[1]Electricity and CHPs_CAP'!B$66</f>
        <v>4.4299094038485788E-3</v>
      </c>
      <c r="G1814" s="1">
        <f>'[1]Electricity and CHPs_CAP'!C$66</f>
        <v>4.4334497998193105E-3</v>
      </c>
      <c r="H1814" s="1">
        <f>'[1]Electricity and CHPs_CAP'!D$66</f>
        <v>4.4567937538553936E-3</v>
      </c>
      <c r="I1814" s="1">
        <f>'[1]Electricity and CHPs_CAP'!E$66</f>
        <v>1.8414035177388544E-2</v>
      </c>
      <c r="J1814" s="1">
        <f>'[1]Electricity and CHPs_CAP'!F$66</f>
        <v>4.2842374013213301E-2</v>
      </c>
      <c r="K1814" s="1">
        <f>'[1]Electricity and CHPs_CAP'!G$66</f>
        <v>8.1343563583433295E-2</v>
      </c>
    </row>
    <row r="1815" spans="2:11" x14ac:dyDescent="0.3">
      <c r="B1815" s="5" t="str">
        <f t="shared" si="1101"/>
        <v>SPS3</v>
      </c>
      <c r="C1815" s="5" t="str">
        <f t="shared" si="1109"/>
        <v>CH</v>
      </c>
      <c r="D1815" t="s">
        <v>1856</v>
      </c>
      <c r="E1815" t="str">
        <f t="shared" si="1095"/>
        <v>GWe/yr.</v>
      </c>
      <c r="F1815" s="1">
        <f>'[1]Electricity and CHPs_CAP'!B$67</f>
        <v>8.8345664006577833E-3</v>
      </c>
      <c r="G1815" s="1">
        <f>'[1]Electricity and CHPs_CAP'!C$67</f>
        <v>8.8417802203508596E-3</v>
      </c>
      <c r="H1815" s="1">
        <f>'[1]Electricity and CHPs_CAP'!D$67</f>
        <v>8.9029781468789176E-3</v>
      </c>
      <c r="I1815" s="1">
        <f>'[1]Electricity and CHPs_CAP'!E$67</f>
        <v>3.2265648000470146E-2</v>
      </c>
      <c r="J1815" s="1">
        <f>'[1]Electricity and CHPs_CAP'!F$67</f>
        <v>6.0131057071990957E-2</v>
      </c>
      <c r="K1815" s="1">
        <f>'[1]Electricity and CHPs_CAP'!G$67</f>
        <v>8.022883287672633E-2</v>
      </c>
    </row>
    <row r="1816" spans="2:11" x14ac:dyDescent="0.3">
      <c r="B1816" s="5" t="str">
        <f t="shared" si="1101"/>
        <v>SPS3</v>
      </c>
      <c r="C1816" s="5" t="str">
        <f t="shared" ref="C1816:C1817" si="1114">C1815</f>
        <v>CH</v>
      </c>
      <c r="D1816" t="s">
        <v>1851</v>
      </c>
      <c r="E1816" t="str">
        <f t="shared" si="1095"/>
        <v>GWe/yr.</v>
      </c>
      <c r="F1816" s="1">
        <f>'[1]Electricity and CHPs_CAP'!B$68</f>
        <v>8.8329598915533776E-3</v>
      </c>
      <c r="G1816" s="1">
        <f>'[1]Electricity and CHPs_CAP'!C$68</f>
        <v>8.8401633925767678E-3</v>
      </c>
      <c r="H1816" s="1">
        <f>'[1]Electricity and CHPs_CAP'!D$68</f>
        <v>8.9016476287031958E-3</v>
      </c>
      <c r="I1816" s="1">
        <f>'[1]Electricity and CHPs_CAP'!E$68</f>
        <v>3.225427610358083E-2</v>
      </c>
      <c r="J1816" s="1">
        <f>'[1]Electricity and CHPs_CAP'!F$68</f>
        <v>6.0559268274608904E-2</v>
      </c>
      <c r="K1816" s="1">
        <f>'[1]Electricity and CHPs_CAP'!G$68</f>
        <v>8.0267472225384578E-2</v>
      </c>
    </row>
    <row r="1817" spans="2:11" x14ac:dyDescent="0.3">
      <c r="B1817" s="5" t="str">
        <f t="shared" si="1101"/>
        <v>SPS3</v>
      </c>
      <c r="C1817" s="5" t="str">
        <f t="shared" si="1114"/>
        <v>CH</v>
      </c>
      <c r="D1817" t="s">
        <v>1852</v>
      </c>
      <c r="E1817" t="str">
        <f t="shared" si="1095"/>
        <v>GWe/yr.</v>
      </c>
      <c r="F1817" s="1">
        <f>'[1]Electricity and CHPs_CAP'!B$69</f>
        <v>4.4433626626298565E-3</v>
      </c>
      <c r="G1817" s="1">
        <f>'[1]Electricity and CHPs_CAP'!C$69</f>
        <v>4.4468808427900221E-3</v>
      </c>
      <c r="H1817" s="1">
        <f>'[1]Electricity and CHPs_CAP'!D$69</f>
        <v>4.4708003778973736E-3</v>
      </c>
      <c r="I1817" s="1">
        <f>'[1]Electricity and CHPs_CAP'!E$69</f>
        <v>1.8184854830134437E-2</v>
      </c>
      <c r="J1817" s="1">
        <f>'[1]Electricity and CHPs_CAP'!F$69</f>
        <v>3.4126813059687476E-2</v>
      </c>
      <c r="K1817" s="1">
        <f>'[1]Electricity and CHPs_CAP'!G$69</f>
        <v>4.2967500445493502E-2</v>
      </c>
    </row>
    <row r="1818" spans="2:11" x14ac:dyDescent="0.3">
      <c r="B1818" s="5" t="str">
        <f t="shared" si="1101"/>
        <v>SPS3</v>
      </c>
      <c r="C1818" s="5" t="str">
        <f t="shared" ref="C1818" si="1115">C1817</f>
        <v>CH</v>
      </c>
      <c r="D1818" s="2" t="s">
        <v>1861</v>
      </c>
      <c r="E1818" s="2" t="s">
        <v>1859</v>
      </c>
      <c r="F1818" s="3">
        <f>SUM(F1819,F1838)</f>
        <v>11.16454406317189</v>
      </c>
      <c r="G1818" s="3">
        <f t="shared" ref="G1818:K1818" si="1116">SUM(G1819,G1838)</f>
        <v>11.629617913534437</v>
      </c>
      <c r="H1818" s="3">
        <f t="shared" si="1116"/>
        <v>11.175949595652728</v>
      </c>
      <c r="I1818" s="3">
        <f t="shared" si="1116"/>
        <v>12.830036260977232</v>
      </c>
      <c r="J1818" s="3">
        <f t="shared" si="1116"/>
        <v>8.7462078517075881</v>
      </c>
      <c r="K1818" s="3">
        <f t="shared" si="1116"/>
        <v>7.7536260936916062</v>
      </c>
    </row>
    <row r="1819" spans="2:11" x14ac:dyDescent="0.3">
      <c r="B1819" s="5" t="str">
        <f t="shared" si="1101"/>
        <v>SPS3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9.3032733617407413</v>
      </c>
      <c r="G1819" s="1">
        <f t="shared" ref="G1819:K1819" si="1117">SUM(G1820,G1823,G1825,G1828,G1830,G1832,G1834,G1836)</f>
        <v>9.6089190376004705</v>
      </c>
      <c r="H1819" s="1">
        <f t="shared" si="1117"/>
        <v>9.2758701294468047</v>
      </c>
      <c r="I1819" s="1">
        <f t="shared" si="1117"/>
        <v>10.613538377056059</v>
      </c>
      <c r="J1819" s="1">
        <f t="shared" si="1117"/>
        <v>6.436961096916237</v>
      </c>
      <c r="K1819" s="1">
        <f t="shared" si="1117"/>
        <v>5.2645615760858444</v>
      </c>
    </row>
    <row r="1820" spans="2:11" x14ac:dyDescent="0.3">
      <c r="B1820" s="5" t="str">
        <f t="shared" si="1101"/>
        <v>SPS3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2.1117215956949109</v>
      </c>
      <c r="G1820" s="1">
        <f t="shared" ref="G1820:K1820" si="1118">SUM(G1821:G1822)</f>
        <v>2.2865065748212117</v>
      </c>
      <c r="H1820" s="1">
        <f t="shared" si="1118"/>
        <v>2.758140391538384</v>
      </c>
      <c r="I1820" s="1">
        <f t="shared" si="1118"/>
        <v>3.9251233759820123</v>
      </c>
      <c r="J1820" s="1">
        <f t="shared" si="1118"/>
        <v>4.6366546949911598</v>
      </c>
      <c r="K1820" s="1">
        <f t="shared" si="1118"/>
        <v>4.1156529250780034</v>
      </c>
    </row>
    <row r="1821" spans="2:11" x14ac:dyDescent="0.3">
      <c r="B1821" s="5" t="str">
        <f t="shared" si="1101"/>
        <v>SPS3</v>
      </c>
      <c r="C1821" s="5" t="str">
        <f t="shared" ref="C1821" si="1119">C1820</f>
        <v>CH</v>
      </c>
      <c r="D1821" t="s">
        <v>1863</v>
      </c>
      <c r="E1821" t="str">
        <f t="shared" ref="E1821:E1884" si="1120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0.6725863767032334</v>
      </c>
      <c r="G1821" s="1" cm="1">
        <f t="array" ref="G1821">SUMPRODUCT(([1]OUT_FinalEnergyCons!$B$4:$B$10000="var_cap")*1,(ISNUMBER(SEARCH("RH*-SHELCBR",[1]OUT_FinalEnergyCons!$A$4:$A$10000)))*1,[1]OUT_FinalEnergyCons!E$4:E$10000)</f>
        <v>0.61806040880745838</v>
      </c>
      <c r="H1821" s="1" cm="1">
        <f t="array" ref="H1821">SUMPRODUCT(([1]OUT_FinalEnergyCons!$B$4:$B$10000="var_cap")*1,(ISNUMBER(SEARCH("RH*-SHELCBR",[1]OUT_FinalEnergyCons!$A$4:$A$10000)))*1,[1]OUT_FinalEnergyCons!F$4:F$10000)</f>
        <v>0.15137053794072769</v>
      </c>
      <c r="I1821" s="1" cm="1">
        <f t="array" ref="I1821">SUMPRODUCT(([1]OUT_FinalEnergyCons!$B$4:$B$10000="var_cap")*1,(ISNUMBER(SEARCH("RH*-SHELCBR",[1]OUT_FinalEnergyCons!$A$4:$A$10000)))*1,[1]OUT_FinalEnergyCons!G$4:G$10000)</f>
        <v>5.6488040059152811E-2</v>
      </c>
      <c r="J1821" s="1" cm="1">
        <f t="array" ref="J1821">SUMPRODUCT(([1]OUT_FinalEnergyCons!$B$4:$B$10000="var_cap")*1,(ISNUMBER(SEARCH("RH*-SHELCBR",[1]OUT_FinalEnergyCons!$A$4:$A$10000)))*1,[1]OUT_FinalEnergyCons!H$4:H$10000)</f>
        <v>1.8767727325272657E-2</v>
      </c>
      <c r="K1821" s="1" cm="1">
        <f t="array" ref="K1821">SUMPRODUCT(([1]OUT_FinalEnergyCons!$B$4:$B$10000="var_cap")*1,(ISNUMBER(SEARCH("RH*-SHELCBR",[1]OUT_FinalEnergyCons!$A$4:$A$10000)))*1,[1]OUT_FinalEnergyCons!I$4:I$10000)</f>
        <v>7.8697425871612769E-3</v>
      </c>
    </row>
    <row r="1822" spans="2:11" x14ac:dyDescent="0.3">
      <c r="B1822" s="5" t="str">
        <f t="shared" si="1101"/>
        <v>SPS3</v>
      </c>
      <c r="C1822" s="5" t="str">
        <f t="shared" ref="C1822" si="1121">C1821</f>
        <v>CH</v>
      </c>
      <c r="D1822" t="s">
        <v>1864</v>
      </c>
      <c r="E1822" t="str">
        <f t="shared" si="1120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1.4391352189916775</v>
      </c>
      <c r="G1822" s="1" cm="1">
        <f t="array" ref="G1822">SUMPRODUCT(([1]OUT_FinalEnergyCons!$B$4:$B$10000="var_cap")*1,ISNUMBER(SEARCH("RH*-SHELCHP",[1]OUT_FinalEnergyCons!$A$4:$A$10000))*1,[1]OUT_FinalEnergyCons!E$4:E$10000)</f>
        <v>1.6684461660137533</v>
      </c>
      <c r="H1822" s="1" cm="1">
        <f t="array" ref="H1822">SUMPRODUCT(([1]OUT_FinalEnergyCons!$B$4:$B$10000="var_cap")*1,ISNUMBER(SEARCH("RH*-SHELCHP",[1]OUT_FinalEnergyCons!$A$4:$A$10000))*1,[1]OUT_FinalEnergyCons!F$4:F$10000)</f>
        <v>2.6067698535976565</v>
      </c>
      <c r="I1822" s="1" cm="1">
        <f t="array" ref="I1822">SUMPRODUCT(([1]OUT_FinalEnergyCons!$B$4:$B$10000="var_cap")*1,ISNUMBER(SEARCH("RH*-SHELCHP",[1]OUT_FinalEnergyCons!$A$4:$A$10000))*1,[1]OUT_FinalEnergyCons!G$4:G$10000)</f>
        <v>3.8686353359228596</v>
      </c>
      <c r="J1822" s="1" cm="1">
        <f t="array" ref="J1822">SUMPRODUCT(([1]OUT_FinalEnergyCons!$B$4:$B$10000="var_cap")*1,ISNUMBER(SEARCH("RH*-SHELCHP",[1]OUT_FinalEnergyCons!$A$4:$A$10000))*1,[1]OUT_FinalEnergyCons!H$4:H$10000)</f>
        <v>4.6178869676658874</v>
      </c>
      <c r="K1822" s="1" cm="1">
        <f t="array" ref="K1822">SUMPRODUCT(([1]OUT_FinalEnergyCons!$B$4:$B$10000="var_cap")*1,ISNUMBER(SEARCH("RH*-SHELCHP",[1]OUT_FinalEnergyCons!$A$4:$A$10000))*1,[1]OUT_FinalEnergyCons!I$4:I$10000)</f>
        <v>4.1077831824908424</v>
      </c>
    </row>
    <row r="1823" spans="2:11" x14ac:dyDescent="0.3">
      <c r="B1823" s="5" t="str">
        <f t="shared" si="1101"/>
        <v>SPS3</v>
      </c>
      <c r="C1823" s="5" t="str">
        <f t="shared" ref="C1823" si="1122">C1822</f>
        <v>CH</v>
      </c>
      <c r="D1823" t="s">
        <v>1865</v>
      </c>
      <c r="E1823" t="str">
        <f t="shared" si="1120"/>
        <v>GWth/yr.</v>
      </c>
      <c r="F1823" s="1">
        <f>F1824</f>
        <v>3.4074053831106799</v>
      </c>
      <c r="G1823" s="1">
        <f t="shared" ref="G1823:K1823" si="1123">G1824</f>
        <v>3.2313790355235952</v>
      </c>
      <c r="H1823" s="1">
        <f t="shared" si="1123"/>
        <v>2.5813282719425787</v>
      </c>
      <c r="I1823" s="1">
        <f t="shared" si="1123"/>
        <v>2.4457201462329663</v>
      </c>
      <c r="J1823" s="1">
        <f t="shared" si="1123"/>
        <v>0.14226505226429684</v>
      </c>
      <c r="K1823" s="1">
        <f t="shared" si="1123"/>
        <v>1.4153298058720294E-2</v>
      </c>
    </row>
    <row r="1824" spans="2:11" x14ac:dyDescent="0.3">
      <c r="B1824" s="5" t="str">
        <f t="shared" si="1101"/>
        <v>SPS3</v>
      </c>
      <c r="C1824" s="5" t="str">
        <f t="shared" ref="C1824" si="1124">C1823</f>
        <v>CH</v>
      </c>
      <c r="D1824" t="s">
        <v>1866</v>
      </c>
      <c r="E1824" t="str">
        <f t="shared" si="1120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3.2313790355235952</v>
      </c>
      <c r="H1824" s="1" cm="1">
        <f t="array" ref="H1824">SUMPRODUCT(([1]OUT_FinalEnergyCons!$B$4:$B$10000="var_cap")*1, (ISNUMBER(SEARCH("RH*-SHLFOBR",[1]OUT_FinalEnergyCons!$A$4:$A$10000)))*1,[1]OUT_FinalEnergyCons!F$4:F$10000)</f>
        <v>2.5813282719425787</v>
      </c>
      <c r="I1824" s="1" cm="1">
        <f t="array" ref="I1824">SUMPRODUCT(([1]OUT_FinalEnergyCons!$B$4:$B$10000="var_cap")*1, (ISNUMBER(SEARCH("RH*-SHLFOBR",[1]OUT_FinalEnergyCons!$A$4:$A$10000)))*1,[1]OUT_FinalEnergyCons!G$4:G$10000)</f>
        <v>2.4457201462329663</v>
      </c>
      <c r="J1824" s="1" cm="1">
        <f t="array" ref="J1824">SUMPRODUCT(([1]OUT_FinalEnergyCons!$B$4:$B$10000="var_cap")*1, (ISNUMBER(SEARCH("RH*-SHLFOBR",[1]OUT_FinalEnergyCons!$A$4:$A$10000)))*1,[1]OUT_FinalEnergyCons!H$4:H$10000)</f>
        <v>0.14226505226429684</v>
      </c>
      <c r="K1824" s="1" cm="1">
        <f t="array" ref="K1824">SUMPRODUCT(([1]OUT_FinalEnergyCons!$B$4:$B$10000="var_cap")*1, (ISNUMBER(SEARCH("RH*-SHLFOBR",[1]OUT_FinalEnergyCons!$A$4:$A$10000)))*1,[1]OUT_FinalEnergyCons!I$4:I$10000)</f>
        <v>1.4153298058720294E-2</v>
      </c>
    </row>
    <row r="1825" spans="2:11" x14ac:dyDescent="0.3">
      <c r="B1825" s="5" t="str">
        <f t="shared" si="1101"/>
        <v>SPS3</v>
      </c>
      <c r="C1825" s="5" t="str">
        <f t="shared" ref="C1825" si="1125">C1824</f>
        <v>CH</v>
      </c>
      <c r="D1825" t="s">
        <v>1867</v>
      </c>
      <c r="E1825" t="str">
        <f t="shared" si="1120"/>
        <v>GWth/yr.</v>
      </c>
      <c r="F1825" s="1">
        <f>SUM(F1826:F1827)</f>
        <v>2.7687561267904872</v>
      </c>
      <c r="G1825" s="1">
        <f t="shared" ref="G1825:K1825" si="1126">SUM(G1826:G1827)</f>
        <v>2.951384698267407</v>
      </c>
      <c r="H1825" s="1">
        <f t="shared" si="1126"/>
        <v>3.0117280888696394</v>
      </c>
      <c r="I1825" s="1">
        <f t="shared" si="1126"/>
        <v>3.3227299198221552</v>
      </c>
      <c r="J1825" s="1">
        <f t="shared" si="1126"/>
        <v>1.2977598103383523</v>
      </c>
      <c r="K1825" s="1">
        <f t="shared" si="1126"/>
        <v>0.94615587933191547</v>
      </c>
    </row>
    <row r="1826" spans="2:11" x14ac:dyDescent="0.3">
      <c r="B1826" s="5" t="str">
        <f t="shared" si="1101"/>
        <v>SPS3</v>
      </c>
      <c r="C1826" s="5" t="str">
        <f t="shared" ref="C1826" si="1127">C1825</f>
        <v>CH</v>
      </c>
      <c r="D1826" t="s">
        <v>1868</v>
      </c>
      <c r="E1826" t="str">
        <f t="shared" si="1120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2.9513509465461225</v>
      </c>
      <c r="H1826" s="1" cm="1">
        <f t="array" ref="H1826">SUMPRODUCT(([1]OUT_FinalEnergyCons!$B$4:$B$10000="var_cap")*1, (ISNUMBER(SEARCH("RH*-SHNGABR",[1]OUT_FinalEnergyCons!$A$4:$A$10000)))*1,[1]OUT_FinalEnergyCons!F$4:F$10000)</f>
        <v>2.7187589889604498</v>
      </c>
      <c r="I1826" s="1" cm="1">
        <f t="array" ref="I1826">SUMPRODUCT(([1]OUT_FinalEnergyCons!$B$4:$B$10000="var_cap")*1, (ISNUMBER(SEARCH("RH*-SHNGABR",[1]OUT_FinalEnergyCons!$A$4:$A$10000)))*1,[1]OUT_FinalEnergyCons!G$4:G$10000)</f>
        <v>2.7129604862163084</v>
      </c>
      <c r="J1826" s="1" cm="1">
        <f t="array" ref="J1826">SUMPRODUCT(([1]OUT_FinalEnergyCons!$B$4:$B$10000="var_cap")*1, (ISNUMBER(SEARCH("RH*-SHNGABR",[1]OUT_FinalEnergyCons!$A$4:$A$10000)))*1,[1]OUT_FinalEnergyCons!H$4:H$10000)</f>
        <v>0.42778379097058677</v>
      </c>
      <c r="K1826" s="1" cm="1">
        <f t="array" ref="K1826">SUMPRODUCT(([1]OUT_FinalEnergyCons!$B$4:$B$10000="var_cap")*1, (ISNUMBER(SEARCH("RH*-SHNGABR",[1]OUT_FinalEnergyCons!$A$4:$A$10000)))*1,[1]OUT_FinalEnergyCons!I$4:I$10000)</f>
        <v>0.25496554388150583</v>
      </c>
    </row>
    <row r="1827" spans="2:11" x14ac:dyDescent="0.3">
      <c r="B1827" s="5" t="str">
        <f t="shared" si="1101"/>
        <v>SPS3</v>
      </c>
      <c r="C1827" s="5" t="str">
        <f t="shared" ref="C1827" si="1128">C1826</f>
        <v>CH</v>
      </c>
      <c r="D1827" t="s">
        <v>1869</v>
      </c>
      <c r="E1827" t="str">
        <f t="shared" si="1120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2.0755521372343998E-6</v>
      </c>
      <c r="G1827" s="1" cm="1">
        <f t="array" ref="G1827">SUMPRODUCT(([1]OUT_FinalEnergyCons!$B$4:$B$10000="var_cap")*1,ISNUMBER(SEARCH("RH*-SHngahp",[1]OUT_FinalEnergyCons!$A$4:$A$10000))*1,[1]OUT_FinalEnergyCons!E$4:E$10000)</f>
        <v>3.3751721284624864E-5</v>
      </c>
      <c r="H1827" s="1" cm="1">
        <f t="array" ref="H1827">SUMPRODUCT(([1]OUT_FinalEnergyCons!$B$4:$B$10000="var_cap")*1,ISNUMBER(SEARCH("RH*-SHngahp",[1]OUT_FinalEnergyCons!$A$4:$A$10000))*1,[1]OUT_FinalEnergyCons!F$4:F$10000)</f>
        <v>0.29296909990918962</v>
      </c>
      <c r="I1827" s="1" cm="1">
        <f t="array" ref="I1827">SUMPRODUCT(([1]OUT_FinalEnergyCons!$B$4:$B$10000="var_cap")*1,ISNUMBER(SEARCH("RH*-SHngahp",[1]OUT_FinalEnergyCons!$A$4:$A$10000))*1,[1]OUT_FinalEnergyCons!G$4:G$10000)</f>
        <v>0.60976943360584679</v>
      </c>
      <c r="J1827" s="1" cm="1">
        <f t="array" ref="J1827">SUMPRODUCT(([1]OUT_FinalEnergyCons!$B$4:$B$10000="var_cap")*1,ISNUMBER(SEARCH("RH*-SHngahp",[1]OUT_FinalEnergyCons!$A$4:$A$10000))*1,[1]OUT_FinalEnergyCons!H$4:H$10000)</f>
        <v>0.86997601936776547</v>
      </c>
      <c r="K1827" s="1" cm="1">
        <f t="array" ref="K1827">SUMPRODUCT(([1]OUT_FinalEnergyCons!$B$4:$B$10000="var_cap")*1,ISNUMBER(SEARCH("RH*-SHngahp",[1]OUT_FinalEnergyCons!$A$4:$A$10000))*1,[1]OUT_FinalEnergyCons!I$4:I$10000)</f>
        <v>0.69119033545040964</v>
      </c>
    </row>
    <row r="1828" spans="2:11" x14ac:dyDescent="0.3">
      <c r="B1828" s="5" t="str">
        <f t="shared" si="1101"/>
        <v>SPS3</v>
      </c>
      <c r="C1828" s="5" t="str">
        <f t="shared" ref="C1828" si="1129">C1827</f>
        <v>CH</v>
      </c>
      <c r="D1828" t="s">
        <v>1870</v>
      </c>
      <c r="E1828" t="str">
        <f t="shared" si="1120"/>
        <v>GWth/yr.</v>
      </c>
      <c r="F1828" s="1">
        <f>F1829</f>
        <v>7.0000000000000001E-3</v>
      </c>
      <c r="G1828" s="1">
        <f t="shared" ref="G1828:K1828" si="1130">G1829</f>
        <v>6.992712661874464E-3</v>
      </c>
      <c r="H1828" s="1">
        <f t="shared" si="1130"/>
        <v>2.8782812506723699E-3</v>
      </c>
      <c r="I1828" s="1">
        <f t="shared" si="1130"/>
        <v>6.0282361887740304E-5</v>
      </c>
      <c r="J1828" s="1">
        <f t="shared" si="1130"/>
        <v>0</v>
      </c>
      <c r="K1828" s="1">
        <f t="shared" si="1130"/>
        <v>0</v>
      </c>
    </row>
    <row r="1829" spans="2:11" x14ac:dyDescent="0.3">
      <c r="B1829" s="5" t="str">
        <f t="shared" si="1101"/>
        <v>SPS3</v>
      </c>
      <c r="C1829" s="5" t="str">
        <f t="shared" ref="C1829" si="1131">C1828</f>
        <v>CH</v>
      </c>
      <c r="D1829" t="s">
        <v>1871</v>
      </c>
      <c r="E1829" t="str">
        <f t="shared" si="1120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6.992712661874464E-3</v>
      </c>
      <c r="H1829" s="1" cm="1">
        <f t="array" ref="H1829">SUMPRODUCT(([1]OUT_FinalEnergyCons!$B$4:$B$10000="var_cap")*1, (ISNUMBER(SEARCH("RH*-SHCOABR",[1]OUT_FinalEnergyCons!$A$4:$A$10000)))*1,[1]OUT_FinalEnergyCons!F$4:F$10000)</f>
        <v>2.8782812506723699E-3</v>
      </c>
      <c r="I1829" s="1" cm="1">
        <f t="array" ref="I1829">SUMPRODUCT(([1]OUT_FinalEnergyCons!$B$4:$B$10000="var_cap")*1, (ISNUMBER(SEARCH("RH*-SHCOABR",[1]OUT_FinalEnergyCons!$A$4:$A$10000)))*1,[1]OUT_FinalEnergyCons!G$4:G$10000)</f>
        <v>6.0282361887740304E-5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3">
      <c r="B1830" s="5" t="str">
        <f t="shared" si="1101"/>
        <v>SPS3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0.68965232560389467</v>
      </c>
      <c r="G1830" s="1">
        <f t="shared" ref="G1830:K1830" si="1132">G1831</f>
        <v>0.75221390083482798</v>
      </c>
      <c r="H1830" s="1">
        <f t="shared" si="1132"/>
        <v>0.75995489043070341</v>
      </c>
      <c r="I1830" s="1">
        <f t="shared" si="1132"/>
        <v>0.75972347928839579</v>
      </c>
      <c r="J1830" s="1">
        <f t="shared" si="1132"/>
        <v>0.33414445717486729</v>
      </c>
      <c r="K1830" s="1">
        <f t="shared" si="1132"/>
        <v>0.16489577616704315</v>
      </c>
    </row>
    <row r="1831" spans="2:11" x14ac:dyDescent="0.3">
      <c r="B1831" s="5" t="str">
        <f t="shared" si="1101"/>
        <v>SPS3</v>
      </c>
      <c r="C1831" s="5" t="str">
        <f t="shared" ref="C1831" si="1133">C1830</f>
        <v>CH</v>
      </c>
      <c r="D1831" t="s">
        <v>1873</v>
      </c>
      <c r="E1831" t="str">
        <f t="shared" si="1120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0.68965232560389467</v>
      </c>
      <c r="G1831" s="1" cm="1">
        <f t="array" ref="G1831">SUMPRODUCT(([1]OUT_FinalEnergyCons!$B$4:$B$10000="var_cap")*1, (ISNUMBER(SEARCH("RH*-SHWODBR",[1]OUT_FinalEnergyCons!$A$4:$A$10000)))*1,[1]OUT_FinalEnergyCons!E$4:E$10000)</f>
        <v>0.75221390083482798</v>
      </c>
      <c r="H1831" s="1" cm="1">
        <f t="array" ref="H1831">SUMPRODUCT(([1]OUT_FinalEnergyCons!$B$4:$B$10000="var_cap")*1, (ISNUMBER(SEARCH("RH*-SHWODBR",[1]OUT_FinalEnergyCons!$A$4:$A$10000)))*1,[1]OUT_FinalEnergyCons!F$4:F$10000)</f>
        <v>0.75995489043070341</v>
      </c>
      <c r="I1831" s="1" cm="1">
        <f t="array" ref="I1831">SUMPRODUCT(([1]OUT_FinalEnergyCons!$B$4:$B$10000="var_cap")*1, (ISNUMBER(SEARCH("RH*-SHWODBR",[1]OUT_FinalEnergyCons!$A$4:$A$10000)))*1,[1]OUT_FinalEnergyCons!G$4:G$10000)</f>
        <v>0.75972347928839579</v>
      </c>
      <c r="J1831" s="1" cm="1">
        <f t="array" ref="J1831">SUMPRODUCT(([1]OUT_FinalEnergyCons!$B$4:$B$10000="var_cap")*1, (ISNUMBER(SEARCH("RH*-SHWODBR",[1]OUT_FinalEnergyCons!$A$4:$A$10000)))*1,[1]OUT_FinalEnergyCons!H$4:H$10000)</f>
        <v>0.33414445717486729</v>
      </c>
      <c r="K1831" s="1" cm="1">
        <f t="array" ref="K1831">SUMPRODUCT(([1]OUT_FinalEnergyCons!$B$4:$B$10000="var_cap")*1, (ISNUMBER(SEARCH("RH*-SHWODBR",[1]OUT_FinalEnergyCons!$A$4:$A$10000)))*1,[1]OUT_FinalEnergyCons!I$4:I$10000)</f>
        <v>0.16489577616704315</v>
      </c>
    </row>
    <row r="1832" spans="2:11" x14ac:dyDescent="0.3">
      <c r="B1832" s="5" t="str">
        <f t="shared" si="1101"/>
        <v>SPS3</v>
      </c>
      <c r="C1832" s="5" t="str">
        <f t="shared" ref="C1832" si="1134">C1831</f>
        <v>CH</v>
      </c>
      <c r="D1832" t="s">
        <v>1874</v>
      </c>
      <c r="E1832" t="str">
        <f t="shared" si="1120"/>
        <v>GWth/yr.</v>
      </c>
      <c r="F1832" s="1">
        <f>F1833</f>
        <v>0.20453193755178734</v>
      </c>
      <c r="G1832" s="1">
        <f t="shared" ref="G1832:K1832" si="1135">G1833</f>
        <v>0.2408511587253005</v>
      </c>
      <c r="H1832" s="1">
        <f t="shared" si="1135"/>
        <v>2.2115152917588445E-2</v>
      </c>
      <c r="I1832" s="1">
        <f t="shared" si="1135"/>
        <v>2.0443909987598E-2</v>
      </c>
      <c r="J1832" s="1">
        <f t="shared" si="1135"/>
        <v>7.1620431781237283E-3</v>
      </c>
      <c r="K1832" s="1">
        <f t="shared" si="1135"/>
        <v>4.1781509926865634E-3</v>
      </c>
    </row>
    <row r="1833" spans="2:11" x14ac:dyDescent="0.3">
      <c r="B1833" s="5" t="str">
        <f t="shared" si="1101"/>
        <v>SPS3</v>
      </c>
      <c r="C1833" s="5" t="str">
        <f t="shared" ref="C1833" si="1136">C1832</f>
        <v>CH</v>
      </c>
      <c r="D1833" t="s">
        <v>1875</v>
      </c>
      <c r="E1833" t="str">
        <f t="shared" si="1120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0.20453193755178734</v>
      </c>
      <c r="G1833" s="1" cm="1">
        <f t="array" ref="G1833">SUMPRODUCT(([1]OUT_FinalEnergyCons!$B$4:$B$10000="var_cap")*1, (ISNUMBER(SEARCH("RH*-SHPLTBR",[1]OUT_FinalEnergyCons!$A$4:$A$10000)))*1,[1]OUT_FinalEnergyCons!E$4:E$10000)</f>
        <v>0.2408511587253005</v>
      </c>
      <c r="H1833" s="1" cm="1">
        <f t="array" ref="H1833">SUMPRODUCT(([1]OUT_FinalEnergyCons!$B$4:$B$10000="var_cap")*1, (ISNUMBER(SEARCH("RH*-SHPLTBR",[1]OUT_FinalEnergyCons!$A$4:$A$10000)))*1,[1]OUT_FinalEnergyCons!F$4:F$10000)</f>
        <v>2.2115152917588445E-2</v>
      </c>
      <c r="I1833" s="1" cm="1">
        <f t="array" ref="I1833">SUMPRODUCT(([1]OUT_FinalEnergyCons!$B$4:$B$10000="var_cap")*1, (ISNUMBER(SEARCH("RH*-SHPLTBR",[1]OUT_FinalEnergyCons!$A$4:$A$10000)))*1,[1]OUT_FinalEnergyCons!G$4:G$10000)</f>
        <v>2.0443909987598E-2</v>
      </c>
      <c r="J1833" s="1" cm="1">
        <f t="array" ref="J1833">SUMPRODUCT(([1]OUT_FinalEnergyCons!$B$4:$B$10000="var_cap")*1, (ISNUMBER(SEARCH("RH*-SHPLTBR",[1]OUT_FinalEnergyCons!$A$4:$A$10000)))*1,[1]OUT_FinalEnergyCons!H$4:H$10000)</f>
        <v>7.1620431781237283E-3</v>
      </c>
      <c r="K1833" s="1" cm="1">
        <f t="array" ref="K1833">SUMPRODUCT(([1]OUT_FinalEnergyCons!$B$4:$B$10000="var_cap")*1, (ISNUMBER(SEARCH("RH*-SHPLTBR",[1]OUT_FinalEnergyCons!$A$4:$A$10000)))*1,[1]OUT_FinalEnergyCons!I$4:I$10000)</f>
        <v>4.1781509926865634E-3</v>
      </c>
    </row>
    <row r="1834" spans="2:11" x14ac:dyDescent="0.3">
      <c r="B1834" s="5" t="str">
        <f t="shared" si="1101"/>
        <v>SPS3</v>
      </c>
      <c r="C1834" s="5" t="str">
        <f t="shared" ref="C1834" si="1137">C1833</f>
        <v>CH</v>
      </c>
      <c r="D1834" t="s">
        <v>1876</v>
      </c>
      <c r="E1834" t="str">
        <f t="shared" si="1120"/>
        <v>GWth/yr.</v>
      </c>
      <c r="F1834" s="1">
        <f>F1835</f>
        <v>0.1142059929889814</v>
      </c>
      <c r="G1834" s="1">
        <f t="shared" ref="G1834:K1834" si="1138">G1835</f>
        <v>0.13959095676625211</v>
      </c>
      <c r="H1834" s="1">
        <f t="shared" si="1138"/>
        <v>0.13972505249723777</v>
      </c>
      <c r="I1834" s="1">
        <f t="shared" si="1138"/>
        <v>0.13973726338104331</v>
      </c>
      <c r="J1834" s="1">
        <f t="shared" si="1138"/>
        <v>1.8975038969437443E-2</v>
      </c>
      <c r="K1834" s="1">
        <f t="shared" si="1138"/>
        <v>1.9525546457475375E-2</v>
      </c>
    </row>
    <row r="1835" spans="2:11" x14ac:dyDescent="0.3">
      <c r="B1835" s="5" t="str">
        <f t="shared" si="1101"/>
        <v>SPS3</v>
      </c>
      <c r="C1835" s="5" t="str">
        <f t="shared" ref="C1835" si="1139">C1834</f>
        <v>CH</v>
      </c>
      <c r="D1835" t="s">
        <v>1877</v>
      </c>
      <c r="E1835" t="str">
        <f t="shared" si="1120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0.1142059929889814</v>
      </c>
      <c r="G1835" s="1" cm="1">
        <f t="array" ref="G1835">SUMPRODUCT(([1]OUT_FinalEnergyCons!$B$4:$B$10000="var_cap")*1, (ISNUMBER(SEARCH("RH*-SHSOLBR",[1]OUT_FinalEnergyCons!$A$4:$A$10000)))*1,[1]OUT_FinalEnergyCons!E$4:E$10000)</f>
        <v>0.13959095676625211</v>
      </c>
      <c r="H1835" s="1" cm="1">
        <f t="array" ref="H1835">SUMPRODUCT(([1]OUT_FinalEnergyCons!$B$4:$B$10000="var_cap")*1, (ISNUMBER(SEARCH("RH*-SHSOLBR",[1]OUT_FinalEnergyCons!$A$4:$A$10000)))*1,[1]OUT_FinalEnergyCons!F$4:F$10000)</f>
        <v>0.13972505249723777</v>
      </c>
      <c r="I1835" s="1" cm="1">
        <f t="array" ref="I1835">SUMPRODUCT(([1]OUT_FinalEnergyCons!$B$4:$B$10000="var_cap")*1, (ISNUMBER(SEARCH("RH*-SHSOLBR",[1]OUT_FinalEnergyCons!$A$4:$A$10000)))*1,[1]OUT_FinalEnergyCons!G$4:G$10000)</f>
        <v>0.13973726338104331</v>
      </c>
      <c r="J1835" s="1" cm="1">
        <f t="array" ref="J1835">SUMPRODUCT(([1]OUT_FinalEnergyCons!$B$4:$B$10000="var_cap")*1, (ISNUMBER(SEARCH("RH*-SHSOLBR",[1]OUT_FinalEnergyCons!$A$4:$A$10000)))*1,[1]OUT_FinalEnergyCons!H$4:H$10000)</f>
        <v>1.8975038969437443E-2</v>
      </c>
      <c r="K1835" s="1" cm="1">
        <f t="array" ref="K1835">SUMPRODUCT(([1]OUT_FinalEnergyCons!$B$4:$B$10000="var_cap")*1, (ISNUMBER(SEARCH("RH*-SHSOLBR",[1]OUT_FinalEnergyCons!$A$4:$A$10000)))*1,[1]OUT_FinalEnergyCons!I$4:I$10000)</f>
        <v>1.9525546457475375E-2</v>
      </c>
    </row>
    <row r="1836" spans="2:11" x14ac:dyDescent="0.3">
      <c r="B1836" s="5" t="str">
        <f t="shared" si="1101"/>
        <v>SPS3</v>
      </c>
      <c r="C1836" s="5" t="str">
        <f t="shared" ref="C1836" si="1140">C1835</f>
        <v>CH</v>
      </c>
      <c r="D1836" t="s">
        <v>1878</v>
      </c>
      <c r="E1836" t="str">
        <f t="shared" si="1120"/>
        <v>GWth/yr.</v>
      </c>
      <c r="F1836" s="1">
        <f>F1837</f>
        <v>0</v>
      </c>
      <c r="G1836" s="1">
        <f t="shared" ref="G1836:K1836" si="1141">G1837</f>
        <v>0</v>
      </c>
      <c r="H1836" s="1">
        <f t="shared" si="1141"/>
        <v>0</v>
      </c>
      <c r="I1836" s="1">
        <f t="shared" si="1141"/>
        <v>0</v>
      </c>
      <c r="J1836" s="1">
        <f t="shared" si="1141"/>
        <v>0</v>
      </c>
      <c r="K1836" s="1">
        <f t="shared" si="1141"/>
        <v>0</v>
      </c>
    </row>
    <row r="1837" spans="2:11" x14ac:dyDescent="0.3">
      <c r="B1837" s="5" t="str">
        <f t="shared" si="1101"/>
        <v>SPS3</v>
      </c>
      <c r="C1837" s="5" t="str">
        <f t="shared" ref="C1837" si="1142">C1836</f>
        <v>CH</v>
      </c>
      <c r="D1837" t="s">
        <v>1879</v>
      </c>
      <c r="E1837" t="str">
        <f t="shared" si="1120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3">
      <c r="B1838" s="5" t="str">
        <f t="shared" si="1101"/>
        <v>SPS3</v>
      </c>
      <c r="C1838" s="5" t="str">
        <f t="shared" ref="C1838" si="1143">C1837</f>
        <v>CH</v>
      </c>
      <c r="D1838" t="s">
        <v>1880</v>
      </c>
      <c r="E1838" t="str">
        <f t="shared" si="1120"/>
        <v>GWth/yr.</v>
      </c>
      <c r="F1838" s="1">
        <f>SUM(F1839,F1842,F1844,F1847,F1849,F1851,F1853,F1855)</f>
        <v>1.8612707014311487</v>
      </c>
      <c r="G1838" s="1">
        <f t="shared" ref="G1838" si="1144">SUM(G1839,G1842,G1844,G1847,G1849,G1851,G1853,G1855)</f>
        <v>2.0206988759339666</v>
      </c>
      <c r="H1838" s="1">
        <f t="shared" ref="H1838" si="1145">SUM(H1839,H1842,H1844,H1847,H1849,H1851,H1853,H1855)</f>
        <v>1.9000794662059231</v>
      </c>
      <c r="I1838" s="1">
        <f t="shared" ref="I1838" si="1146">SUM(I1839,I1842,I1844,I1847,I1849,I1851,I1853,I1855)</f>
        <v>2.2164978839211726</v>
      </c>
      <c r="J1838" s="1">
        <f t="shared" ref="J1838" si="1147">SUM(J1839,J1842,J1844,J1847,J1849,J1851,J1853,J1855)</f>
        <v>2.3092467547913502</v>
      </c>
      <c r="K1838" s="1">
        <f t="shared" ref="K1838" si="1148">SUM(K1839,K1842,K1844,K1847,K1849,K1851,K1853,K1855)</f>
        <v>2.4890645176057618</v>
      </c>
    </row>
    <row r="1839" spans="2:11" x14ac:dyDescent="0.3">
      <c r="B1839" s="5" t="str">
        <f t="shared" si="1101"/>
        <v>SPS3</v>
      </c>
      <c r="C1839" s="5" t="str">
        <f t="shared" ref="C1839" si="1149">C1838</f>
        <v>CH</v>
      </c>
      <c r="D1839" t="s">
        <v>1881</v>
      </c>
      <c r="E1839" t="str">
        <f t="shared" si="1120"/>
        <v>GWth/yr.</v>
      </c>
      <c r="F1839" s="1">
        <f>SUM(F1840:F1841)</f>
        <v>0.65121259290900413</v>
      </c>
      <c r="G1839" s="1">
        <f t="shared" ref="G1839" si="1150">SUM(G1840:G1841)</f>
        <v>0.71951143257979999</v>
      </c>
      <c r="H1839" s="1">
        <f t="shared" ref="H1839" si="1151">SUM(H1840:H1841)</f>
        <v>0.66853802477022017</v>
      </c>
      <c r="I1839" s="1">
        <f t="shared" ref="I1839" si="1152">SUM(I1840:I1841)</f>
        <v>0.86199754527541539</v>
      </c>
      <c r="J1839" s="1">
        <f t="shared" ref="J1839" si="1153">SUM(J1840:J1841)</f>
        <v>1.0284336526262134</v>
      </c>
      <c r="K1839" s="1">
        <f t="shared" ref="K1839" si="1154">SUM(K1840:K1841)</f>
        <v>1.0871785712236992</v>
      </c>
    </row>
    <row r="1840" spans="2:11" x14ac:dyDescent="0.3">
      <c r="B1840" s="5" t="str">
        <f t="shared" si="1101"/>
        <v>SPS3</v>
      </c>
      <c r="C1840" s="5" t="str">
        <f t="shared" ref="C1840" si="1155">C1839</f>
        <v>CH</v>
      </c>
      <c r="D1840" t="s">
        <v>1882</v>
      </c>
      <c r="E1840" t="str">
        <f t="shared" si="1120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0.43778594342673682</v>
      </c>
      <c r="G1840" s="1" cm="1">
        <f t="array" ref="G1840">SUMPRODUCT(([1]OUT_FinalEnergyCons!$B$4:$B$10000="var_cap")*1,(ISNUMBER(SEARCH("RH*-WHELCBR",[1]OUT_FinalEnergyCons!$A$4:$A$10000)))*1,[1]OUT_FinalEnergyCons!E$4:E$10000)</f>
        <v>0.47204856701140085</v>
      </c>
      <c r="H1840" s="1" cm="1">
        <f t="array" ref="H1840">SUMPRODUCT(([1]OUT_FinalEnergyCons!$B$4:$B$10000="var_cap")*1,(ISNUMBER(SEARCH("RH*-WHELCBR",[1]OUT_FinalEnergyCons!$A$4:$A$10000)))*1,[1]OUT_FinalEnergyCons!F$4:F$10000)</f>
        <v>0.32737645807491578</v>
      </c>
      <c r="I1840" s="1" cm="1">
        <f t="array" ref="I1840">SUMPRODUCT(([1]OUT_FinalEnergyCons!$B$4:$B$10000="var_cap")*1,(ISNUMBER(SEARCH("RH*-WHELCBR",[1]OUT_FinalEnergyCons!$A$4:$A$10000)))*1,[1]OUT_FinalEnergyCons!G$4:G$10000)</f>
        <v>0.25132347998678128</v>
      </c>
      <c r="J1840" s="1" cm="1">
        <f t="array" ref="J1840">SUMPRODUCT(([1]OUT_FinalEnergyCons!$B$4:$B$10000="var_cap")*1,(ISNUMBER(SEARCH("RH*-WHELCBR",[1]OUT_FinalEnergyCons!$A$4:$A$10000)))*1,[1]OUT_FinalEnergyCons!H$4:H$10000)</f>
        <v>0.12234747548111999</v>
      </c>
      <c r="K1840" s="1" cm="1">
        <f t="array" ref="K1840">SUMPRODUCT(([1]OUT_FinalEnergyCons!$B$4:$B$10000="var_cap")*1,(ISNUMBER(SEARCH("RH*-WHELCBR",[1]OUT_FinalEnergyCons!$A$4:$A$10000)))*1,[1]OUT_FinalEnergyCons!I$4:I$10000)</f>
        <v>0.11191765581154489</v>
      </c>
    </row>
    <row r="1841" spans="2:11" x14ac:dyDescent="0.3">
      <c r="B1841" s="5" t="str">
        <f t="shared" si="1101"/>
        <v>SPS3</v>
      </c>
      <c r="C1841" s="5" t="str">
        <f t="shared" ref="C1841" si="1156">C1840</f>
        <v>CH</v>
      </c>
      <c r="D1841" t="s">
        <v>1883</v>
      </c>
      <c r="E1841" t="str">
        <f t="shared" si="1120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0.21342664948226733</v>
      </c>
      <c r="G1841" s="1" cm="1">
        <f t="array" ref="G1841">SUMPRODUCT(([1]OUT_FinalEnergyCons!$B$4:$B$10000="var_cap")*1,ISNUMBER(SEARCH("RH*-WHELCHP",[1]OUT_FinalEnergyCons!$A$4:$A$10000))*1,[1]OUT_FinalEnergyCons!E$4:E$10000)</f>
        <v>0.24746286556839911</v>
      </c>
      <c r="H1841" s="1" cm="1">
        <f t="array" ref="H1841">SUMPRODUCT(([1]OUT_FinalEnergyCons!$B$4:$B$10000="var_cap")*1,ISNUMBER(SEARCH("RH*-WHELCHP",[1]OUT_FinalEnergyCons!$A$4:$A$10000))*1,[1]OUT_FinalEnergyCons!F$4:F$10000)</f>
        <v>0.34116156669530434</v>
      </c>
      <c r="I1841" s="1" cm="1">
        <f t="array" ref="I1841">SUMPRODUCT(([1]OUT_FinalEnergyCons!$B$4:$B$10000="var_cap")*1,ISNUMBER(SEARCH("RH*-WHELCHP",[1]OUT_FinalEnergyCons!$A$4:$A$10000))*1,[1]OUT_FinalEnergyCons!G$4:G$10000)</f>
        <v>0.6106740652886341</v>
      </c>
      <c r="J1841" s="1" cm="1">
        <f t="array" ref="J1841">SUMPRODUCT(([1]OUT_FinalEnergyCons!$B$4:$B$10000="var_cap")*1,ISNUMBER(SEARCH("RH*-WHELCHP",[1]OUT_FinalEnergyCons!$A$4:$A$10000))*1,[1]OUT_FinalEnergyCons!H$4:H$10000)</f>
        <v>0.90608617714509343</v>
      </c>
      <c r="K1841" s="1" cm="1">
        <f t="array" ref="K1841">SUMPRODUCT(([1]OUT_FinalEnergyCons!$B$4:$B$10000="var_cap")*1,ISNUMBER(SEARCH("RH*-WHELCHP",[1]OUT_FinalEnergyCons!$A$4:$A$10000))*1,[1]OUT_FinalEnergyCons!I$4:I$10000)</f>
        <v>0.97526091541215432</v>
      </c>
    </row>
    <row r="1842" spans="2:11" x14ac:dyDescent="0.3">
      <c r="B1842" s="5" t="str">
        <f t="shared" si="1101"/>
        <v>SPS3</v>
      </c>
      <c r="C1842" s="5" t="str">
        <f t="shared" ref="C1842" si="1157">C1841</f>
        <v>CH</v>
      </c>
      <c r="D1842" t="s">
        <v>1884</v>
      </c>
      <c r="E1842" t="str">
        <f t="shared" si="1120"/>
        <v>GWth/yr.</v>
      </c>
      <c r="F1842" s="1">
        <f>F1843</f>
        <v>0.47738433216181703</v>
      </c>
      <c r="G1842" s="1">
        <f t="shared" ref="G1842" si="1158">G1843</f>
        <v>0.47737158827150994</v>
      </c>
      <c r="H1842" s="1">
        <f t="shared" ref="H1842" si="1159">H1843</f>
        <v>0.33201785238123349</v>
      </c>
      <c r="I1842" s="1">
        <f t="shared" ref="I1842" si="1160">I1843</f>
        <v>0.22497404695189122</v>
      </c>
      <c r="J1842" s="1">
        <f t="shared" ref="J1842" si="1161">J1843</f>
        <v>2.6310837773166996E-2</v>
      </c>
      <c r="K1842" s="1">
        <f t="shared" ref="K1842" si="1162">K1843</f>
        <v>1.5917055602028708E-3</v>
      </c>
    </row>
    <row r="1843" spans="2:11" x14ac:dyDescent="0.3">
      <c r="B1843" s="5" t="str">
        <f t="shared" si="1101"/>
        <v>SPS3</v>
      </c>
      <c r="C1843" s="5" t="str">
        <f t="shared" ref="C1843" si="1163">C1842</f>
        <v>CH</v>
      </c>
      <c r="D1843" t="s">
        <v>1885</v>
      </c>
      <c r="E1843" t="str">
        <f t="shared" si="1120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0.47737158827150994</v>
      </c>
      <c r="H1843" s="1" cm="1">
        <f t="array" ref="H1843">SUMPRODUCT(([1]OUT_FinalEnergyCons!$B$4:$B$10000="var_cap")*1, (ISNUMBER(SEARCH("RH*-WHLFOBR",[1]OUT_FinalEnergyCons!$A$4:$A$10000)))*1,[1]OUT_FinalEnergyCons!F$4:F$10000)</f>
        <v>0.33201785238123349</v>
      </c>
      <c r="I1843" s="1" cm="1">
        <f t="array" ref="I1843">SUMPRODUCT(([1]OUT_FinalEnergyCons!$B$4:$B$10000="var_cap")*1, (ISNUMBER(SEARCH("RH*-WHLFOBR",[1]OUT_FinalEnergyCons!$A$4:$A$10000)))*1,[1]OUT_FinalEnergyCons!G$4:G$10000)</f>
        <v>0.22497404695189122</v>
      </c>
      <c r="J1843" s="1" cm="1">
        <f t="array" ref="J1843">SUMPRODUCT(([1]OUT_FinalEnergyCons!$B$4:$B$10000="var_cap")*1, (ISNUMBER(SEARCH("RH*-WHLFOBR",[1]OUT_FinalEnergyCons!$A$4:$A$10000)))*1,[1]OUT_FinalEnergyCons!H$4:H$10000)</f>
        <v>2.6310837773166996E-2</v>
      </c>
      <c r="K1843" s="1" cm="1">
        <f t="array" ref="K1843">SUMPRODUCT(([1]OUT_FinalEnergyCons!$B$4:$B$10000="var_cap")*1, (ISNUMBER(SEARCH("RH*-WHLFOBR",[1]OUT_FinalEnergyCons!$A$4:$A$10000)))*1,[1]OUT_FinalEnergyCons!I$4:I$10000)</f>
        <v>1.5917055602028708E-3</v>
      </c>
    </row>
    <row r="1844" spans="2:11" x14ac:dyDescent="0.3">
      <c r="B1844" s="5" t="str">
        <f t="shared" ref="B1844:B1907" si="1164">B1843</f>
        <v>SPS3</v>
      </c>
      <c r="C1844" s="5" t="str">
        <f t="shared" ref="C1844" si="1165">C1843</f>
        <v>CH</v>
      </c>
      <c r="D1844" t="s">
        <v>1886</v>
      </c>
      <c r="E1844" t="str">
        <f t="shared" si="1120"/>
        <v>GWth/yr.</v>
      </c>
      <c r="F1844" s="1">
        <f>SUM(F1845:F1846)</f>
        <v>0.43610075806793741</v>
      </c>
      <c r="G1844" s="1">
        <f t="shared" ref="G1844" si="1166">SUM(G1845:G1846)</f>
        <v>0.43610105535963539</v>
      </c>
      <c r="H1844" s="1">
        <f t="shared" ref="H1844" si="1167">SUM(H1845:H1846)</f>
        <v>0.49317522701438821</v>
      </c>
      <c r="I1844" s="1">
        <f t="shared" ref="I1844" si="1168">SUM(I1845:I1846)</f>
        <v>0.61169956860861285</v>
      </c>
      <c r="J1844" s="1">
        <f t="shared" ref="J1844" si="1169">SUM(J1845:J1846)</f>
        <v>0.41179189021804458</v>
      </c>
      <c r="K1844" s="1">
        <f t="shared" ref="K1844" si="1170">SUM(K1845:K1846)</f>
        <v>0.36889798995371825</v>
      </c>
    </row>
    <row r="1845" spans="2:11" x14ac:dyDescent="0.3">
      <c r="B1845" s="5" t="str">
        <f t="shared" si="1164"/>
        <v>SPS3</v>
      </c>
      <c r="C1845" s="5" t="str">
        <f t="shared" ref="C1845" si="1171">C1844</f>
        <v>CH</v>
      </c>
      <c r="D1845" t="s">
        <v>1887</v>
      </c>
      <c r="E1845" t="str">
        <f t="shared" si="1120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0.43609003365461174</v>
      </c>
      <c r="H1845" s="1" cm="1">
        <f t="array" ref="H1845">SUMPRODUCT(([1]OUT_FinalEnergyCons!$B$4:$B$10000="var_cap")*1, (ISNUMBER(SEARCH("RH*-WHNGABR",[1]OUT_FinalEnergyCons!$A$4:$A$10000)))*1,[1]OUT_FinalEnergyCons!F$4:F$10000)</f>
        <v>0.43527563047528184</v>
      </c>
      <c r="I1845" s="1" cm="1">
        <f t="array" ref="I1845">SUMPRODUCT(([1]OUT_FinalEnergyCons!$B$4:$B$10000="var_cap")*1, (ISNUMBER(SEARCH("RH*-WHNGABR",[1]OUT_FinalEnergyCons!$A$4:$A$10000)))*1,[1]OUT_FinalEnergyCons!G$4:G$10000)</f>
        <v>0.43431499295887749</v>
      </c>
      <c r="J1845" s="1" cm="1">
        <f t="array" ref="J1845">SUMPRODUCT(([1]OUT_FinalEnergyCons!$B$4:$B$10000="var_cap")*1, (ISNUMBER(SEARCH("RH*-WHNGABR",[1]OUT_FinalEnergyCons!$A$4:$A$10000)))*1,[1]OUT_FinalEnergyCons!H$4:H$10000)</f>
        <v>8.9601598717575393E-2</v>
      </c>
      <c r="K1845" s="1" cm="1">
        <f t="array" ref="K1845">SUMPRODUCT(([1]OUT_FinalEnergyCons!$B$4:$B$10000="var_cap")*1, (ISNUMBER(SEARCH("RH*-WHNGABR",[1]OUT_FinalEnergyCons!$A$4:$A$10000)))*1,[1]OUT_FinalEnergyCons!I$4:I$10000)</f>
        <v>5.9022937615835026E-2</v>
      </c>
    </row>
    <row r="1846" spans="2:11" x14ac:dyDescent="0.3">
      <c r="B1846" s="5" t="str">
        <f t="shared" si="1164"/>
        <v>SPS3</v>
      </c>
      <c r="C1846" s="5" t="str">
        <f t="shared" ref="C1846" si="1172">C1845</f>
        <v>CH</v>
      </c>
      <c r="D1846" t="s">
        <v>1888</v>
      </c>
      <c r="E1846" t="str">
        <f t="shared" si="1120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1.1021705023661798E-5</v>
      </c>
      <c r="H1846" s="1" cm="1">
        <f t="array" ref="H1846">SUMPRODUCT(([1]OUT_FinalEnergyCons!$B$4:$B$10000="var_cap")*1,ISNUMBER(SEARCH("RH*-WHngahp",[1]OUT_FinalEnergyCons!$A$4:$A$10000))*1,[1]OUT_FinalEnergyCons!F$4:F$10000)</f>
        <v>5.7899596539106361E-2</v>
      </c>
      <c r="I1846" s="1" cm="1">
        <f t="array" ref="I1846">SUMPRODUCT(([1]OUT_FinalEnergyCons!$B$4:$B$10000="var_cap")*1,ISNUMBER(SEARCH("RH*-WHngahp",[1]OUT_FinalEnergyCons!$A$4:$A$10000))*1,[1]OUT_FinalEnergyCons!G$4:G$10000)</f>
        <v>0.17738457564973539</v>
      </c>
      <c r="J1846" s="1" cm="1">
        <f t="array" ref="J1846">SUMPRODUCT(([1]OUT_FinalEnergyCons!$B$4:$B$10000="var_cap")*1,ISNUMBER(SEARCH("RH*-WHngahp",[1]OUT_FinalEnergyCons!$A$4:$A$10000))*1,[1]OUT_FinalEnergyCons!H$4:H$10000)</f>
        <v>0.32219029150046918</v>
      </c>
      <c r="K1846" s="1" cm="1">
        <f t="array" ref="K1846">SUMPRODUCT(([1]OUT_FinalEnergyCons!$B$4:$B$10000="var_cap")*1,ISNUMBER(SEARCH("RH*-WHngahp",[1]OUT_FinalEnergyCons!$A$4:$A$10000))*1,[1]OUT_FinalEnergyCons!I$4:I$10000)</f>
        <v>0.30987505233788321</v>
      </c>
    </row>
    <row r="1847" spans="2:11" x14ac:dyDescent="0.3">
      <c r="B1847" s="5" t="str">
        <f t="shared" si="1164"/>
        <v>SPS3</v>
      </c>
      <c r="C1847" s="5" t="str">
        <f t="shared" ref="C1847" si="1173">C1846</f>
        <v>CH</v>
      </c>
      <c r="D1847" t="s">
        <v>1889</v>
      </c>
      <c r="E1847" t="str">
        <f t="shared" si="1120"/>
        <v>GWth/yr.</v>
      </c>
      <c r="F1847" s="1">
        <f>F1848</f>
        <v>0</v>
      </c>
      <c r="G1847" s="1">
        <f t="shared" ref="G1847" si="1174">G1848</f>
        <v>0</v>
      </c>
      <c r="H1847" s="1">
        <f t="shared" ref="H1847" si="1175">H1848</f>
        <v>0</v>
      </c>
      <c r="I1847" s="1">
        <f t="shared" ref="I1847" si="1176">I1848</f>
        <v>0</v>
      </c>
      <c r="J1847" s="1">
        <f t="shared" ref="J1847" si="1177">J1848</f>
        <v>0</v>
      </c>
      <c r="K1847" s="1">
        <f t="shared" ref="K1847" si="1178">K1848</f>
        <v>0</v>
      </c>
    </row>
    <row r="1848" spans="2:11" x14ac:dyDescent="0.3">
      <c r="B1848" s="5" t="str">
        <f t="shared" si="1164"/>
        <v>SPS3</v>
      </c>
      <c r="C1848" s="5" t="str">
        <f t="shared" ref="C1848" si="1179">C1847</f>
        <v>CH</v>
      </c>
      <c r="D1848" t="s">
        <v>1890</v>
      </c>
      <c r="E1848" t="str">
        <f t="shared" si="1120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3">
      <c r="B1849" s="5" t="str">
        <f t="shared" si="1164"/>
        <v>SPS3</v>
      </c>
      <c r="C1849" s="5" t="str">
        <f t="shared" ref="C1849" si="1180">C1848</f>
        <v>CH</v>
      </c>
      <c r="D1849" t="s">
        <v>1891</v>
      </c>
      <c r="E1849" t="str">
        <f t="shared" si="1120"/>
        <v>GWth/yr.</v>
      </c>
      <c r="F1849" s="1">
        <f>F1850</f>
        <v>3.5322010722483803E-2</v>
      </c>
      <c r="G1849" s="1">
        <f t="shared" ref="G1849" si="1181">G1850</f>
        <v>4.1092065870891391E-2</v>
      </c>
      <c r="H1849" s="1">
        <f t="shared" ref="H1849" si="1182">H1850</f>
        <v>6.855458630906644E-2</v>
      </c>
      <c r="I1849" s="1">
        <f t="shared" ref="I1849" si="1183">I1850</f>
        <v>6.8539669557196023E-2</v>
      </c>
      <c r="J1849" s="1">
        <f t="shared" ref="J1849" si="1184">J1850</f>
        <v>4.3624225473628618E-2</v>
      </c>
      <c r="K1849" s="1">
        <f t="shared" ref="K1849" si="1185">K1850</f>
        <v>2.4867788357765458E-2</v>
      </c>
    </row>
    <row r="1850" spans="2:11" x14ac:dyDescent="0.3">
      <c r="B1850" s="5" t="str">
        <f t="shared" si="1164"/>
        <v>SPS3</v>
      </c>
      <c r="C1850" s="5" t="str">
        <f t="shared" ref="C1850" si="1186">C1849</f>
        <v>CH</v>
      </c>
      <c r="D1850" t="s">
        <v>1892</v>
      </c>
      <c r="E1850" t="str">
        <f t="shared" si="1120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4.1092065870891391E-2</v>
      </c>
      <c r="H1850" s="1" cm="1">
        <f t="array" ref="H1850">SUMPRODUCT(([1]OUT_FinalEnergyCons!$B$4:$B$10000="var_cap")*1, (ISNUMBER(SEARCH("RH*-WHWODBR",[1]OUT_FinalEnergyCons!$A$4:$A$10000)))*1,[1]OUT_FinalEnergyCons!F$4:F$10000)</f>
        <v>6.855458630906644E-2</v>
      </c>
      <c r="I1850" s="1" cm="1">
        <f t="array" ref="I1850">SUMPRODUCT(([1]OUT_FinalEnergyCons!$B$4:$B$10000="var_cap")*1, (ISNUMBER(SEARCH("RH*-WHWODBR",[1]OUT_FinalEnergyCons!$A$4:$A$10000)))*1,[1]OUT_FinalEnergyCons!G$4:G$10000)</f>
        <v>6.8539669557196023E-2</v>
      </c>
      <c r="J1850" s="1" cm="1">
        <f t="array" ref="J1850">SUMPRODUCT(([1]OUT_FinalEnergyCons!$B$4:$B$10000="var_cap")*1, (ISNUMBER(SEARCH("RH*-WHWODBR",[1]OUT_FinalEnergyCons!$A$4:$A$10000)))*1,[1]OUT_FinalEnergyCons!H$4:H$10000)</f>
        <v>4.3624225473628618E-2</v>
      </c>
      <c r="K1850" s="1" cm="1">
        <f t="array" ref="K1850">SUMPRODUCT(([1]OUT_FinalEnergyCons!$B$4:$B$10000="var_cap")*1, (ISNUMBER(SEARCH("RH*-WHWODBR",[1]OUT_FinalEnergyCons!$A$4:$A$10000)))*1,[1]OUT_FinalEnergyCons!I$4:I$10000)</f>
        <v>2.4867788357765458E-2</v>
      </c>
    </row>
    <row r="1851" spans="2:11" x14ac:dyDescent="0.3">
      <c r="B1851" s="5" t="str">
        <f t="shared" si="1164"/>
        <v>SPS3</v>
      </c>
      <c r="C1851" s="5" t="str">
        <f t="shared" ref="C1851" si="1187">C1850</f>
        <v>CH</v>
      </c>
      <c r="D1851" t="s">
        <v>1893</v>
      </c>
      <c r="E1851" t="str">
        <f t="shared" si="1120"/>
        <v>GWth/yr.</v>
      </c>
      <c r="F1851" s="1">
        <f>F1852</f>
        <v>1.12410901121583E-2</v>
      </c>
      <c r="G1851" s="1">
        <f t="shared" ref="G1851" si="1188">G1852</f>
        <v>1.3078262227440178E-2</v>
      </c>
      <c r="H1851" s="1">
        <f t="shared" ref="H1851" si="1189">H1852</f>
        <v>4.2204982896478106E-3</v>
      </c>
      <c r="I1851" s="1">
        <f t="shared" ref="I1851" si="1190">I1852</f>
        <v>4.0113376042160507E-3</v>
      </c>
      <c r="J1851" s="1">
        <f t="shared" ref="J1851" si="1191">J1852</f>
        <v>1.6471424655789724E-3</v>
      </c>
      <c r="K1851" s="1">
        <f t="shared" ref="K1851" si="1192">K1852</f>
        <v>8.6528149308400123E-4</v>
      </c>
    </row>
    <row r="1852" spans="2:11" x14ac:dyDescent="0.3">
      <c r="B1852" s="5" t="str">
        <f t="shared" si="1164"/>
        <v>SPS3</v>
      </c>
      <c r="C1852" s="5" t="str">
        <f t="shared" ref="C1852" si="1193">C1851</f>
        <v>CH</v>
      </c>
      <c r="D1852" t="s">
        <v>1894</v>
      </c>
      <c r="E1852" t="str">
        <f t="shared" si="1120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1.3078262227440178E-2</v>
      </c>
      <c r="H1852" s="1" cm="1">
        <f t="array" ref="H1852">SUMPRODUCT(([1]OUT_FinalEnergyCons!$B$4:$B$10000="var_cap")*1, (ISNUMBER(SEARCH("RH*-WHPLTBR",[1]OUT_FinalEnergyCons!$A$4:$A$10000)))*1,[1]OUT_FinalEnergyCons!F$4:F$10000)</f>
        <v>4.2204982896478106E-3</v>
      </c>
      <c r="I1852" s="1" cm="1">
        <f t="array" ref="I1852">SUMPRODUCT(([1]OUT_FinalEnergyCons!$B$4:$B$10000="var_cap")*1, (ISNUMBER(SEARCH("RH*-WHPLTBR",[1]OUT_FinalEnergyCons!$A$4:$A$10000)))*1,[1]OUT_FinalEnergyCons!G$4:G$10000)</f>
        <v>4.0113376042160507E-3</v>
      </c>
      <c r="J1852" s="1" cm="1">
        <f t="array" ref="J1852">SUMPRODUCT(([1]OUT_FinalEnergyCons!$B$4:$B$10000="var_cap")*1, (ISNUMBER(SEARCH("RH*-WHPLTBR",[1]OUT_FinalEnergyCons!$A$4:$A$10000)))*1,[1]OUT_FinalEnergyCons!H$4:H$10000)</f>
        <v>1.6471424655789724E-3</v>
      </c>
      <c r="K1852" s="1" cm="1">
        <f t="array" ref="K1852">SUMPRODUCT(([1]OUT_FinalEnergyCons!$B$4:$B$10000="var_cap")*1, (ISNUMBER(SEARCH("RH*-WHPLTBR",[1]OUT_FinalEnergyCons!$A$4:$A$10000)))*1,[1]OUT_FinalEnergyCons!I$4:I$10000)</f>
        <v>8.6528149308400123E-4</v>
      </c>
    </row>
    <row r="1853" spans="2:11" x14ac:dyDescent="0.3">
      <c r="B1853" s="5" t="str">
        <f t="shared" si="1164"/>
        <v>SPS3</v>
      </c>
      <c r="C1853" s="5" t="str">
        <f t="shared" ref="C1853" si="1194">C1852</f>
        <v>CH</v>
      </c>
      <c r="D1853" t="s">
        <v>1895</v>
      </c>
      <c r="E1853" t="str">
        <f t="shared" si="1120"/>
        <v>GWth/yr.</v>
      </c>
      <c r="F1853" s="1">
        <f>F1854</f>
        <v>0.25000991745774798</v>
      </c>
      <c r="G1853" s="1">
        <f t="shared" ref="G1853" si="1195">G1854</f>
        <v>0.33354447162468981</v>
      </c>
      <c r="H1853" s="1">
        <f t="shared" ref="H1853" si="1196">H1854</f>
        <v>0.333573277441367</v>
      </c>
      <c r="I1853" s="1">
        <f t="shared" ref="I1853" si="1197">I1854</f>
        <v>0.44527571592384102</v>
      </c>
      <c r="J1853" s="1">
        <f t="shared" ref="J1853" si="1198">J1854</f>
        <v>0.79743900623471786</v>
      </c>
      <c r="K1853" s="1">
        <f t="shared" ref="K1853" si="1199">K1854</f>
        <v>1.005663181017292</v>
      </c>
    </row>
    <row r="1854" spans="2:11" x14ac:dyDescent="0.3">
      <c r="B1854" s="5" t="str">
        <f t="shared" si="1164"/>
        <v>SPS3</v>
      </c>
      <c r="C1854" s="5" t="str">
        <f t="shared" ref="C1854" si="1200">C1853</f>
        <v>CH</v>
      </c>
      <c r="D1854" t="s">
        <v>1896</v>
      </c>
      <c r="E1854" t="str">
        <f t="shared" si="1120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0.33354447162468981</v>
      </c>
      <c r="H1854" s="1" cm="1">
        <f t="array" ref="H1854">SUMPRODUCT(([1]OUT_FinalEnergyCons!$B$4:$B$10000="var_cap")*1, (ISNUMBER(SEARCH("RH*-WHSOLBR",[1]OUT_FinalEnergyCons!$A$4:$A$10000)))*1,[1]OUT_FinalEnergyCons!F$4:F$10000)</f>
        <v>0.333573277441367</v>
      </c>
      <c r="I1854" s="1" cm="1">
        <f t="array" ref="I1854">SUMPRODUCT(([1]OUT_FinalEnergyCons!$B$4:$B$10000="var_cap")*1, (ISNUMBER(SEARCH("RH*-WHSOLBR",[1]OUT_FinalEnergyCons!$A$4:$A$10000)))*1,[1]OUT_FinalEnergyCons!G$4:G$10000)</f>
        <v>0.44527571592384102</v>
      </c>
      <c r="J1854" s="1" cm="1">
        <f t="array" ref="J1854">SUMPRODUCT(([1]OUT_FinalEnergyCons!$B$4:$B$10000="var_cap")*1, (ISNUMBER(SEARCH("RH*-WHSOLBR",[1]OUT_FinalEnergyCons!$A$4:$A$10000)))*1,[1]OUT_FinalEnergyCons!H$4:H$10000)</f>
        <v>0.79743900623471786</v>
      </c>
      <c r="K1854" s="1" cm="1">
        <f t="array" ref="K1854">SUMPRODUCT(([1]OUT_FinalEnergyCons!$B$4:$B$10000="var_cap")*1, (ISNUMBER(SEARCH("RH*-WHSOLBR",[1]OUT_FinalEnergyCons!$A$4:$A$10000)))*1,[1]OUT_FinalEnergyCons!I$4:I$10000)</f>
        <v>1.005663181017292</v>
      </c>
    </row>
    <row r="1855" spans="2:11" x14ac:dyDescent="0.3">
      <c r="B1855" s="5" t="str">
        <f t="shared" si="1164"/>
        <v>SPS3</v>
      </c>
      <c r="C1855" s="5" t="str">
        <f t="shared" ref="C1855" si="1201">C1854</f>
        <v>CH</v>
      </c>
      <c r="D1855" t="s">
        <v>1897</v>
      </c>
      <c r="E1855" t="str">
        <f t="shared" si="1120"/>
        <v>GWth/yr.</v>
      </c>
      <c r="F1855" s="1">
        <f>F1856</f>
        <v>0</v>
      </c>
      <c r="G1855" s="1">
        <f t="shared" ref="G1855" si="1202">G1856</f>
        <v>0</v>
      </c>
      <c r="H1855" s="1">
        <f t="shared" ref="H1855" si="1203">H1856</f>
        <v>0</v>
      </c>
      <c r="I1855" s="1">
        <f t="shared" ref="I1855" si="1204">I1856</f>
        <v>0</v>
      </c>
      <c r="J1855" s="1">
        <f t="shared" ref="J1855" si="1205">J1856</f>
        <v>0</v>
      </c>
      <c r="K1855" s="1">
        <f t="shared" ref="K1855" si="1206">K1856</f>
        <v>0</v>
      </c>
    </row>
    <row r="1856" spans="2:11" x14ac:dyDescent="0.3">
      <c r="B1856" s="5" t="str">
        <f t="shared" si="1164"/>
        <v>SPS3</v>
      </c>
      <c r="C1856" s="5" t="str">
        <f t="shared" ref="C1856:C1860" si="1207">C1855</f>
        <v>CH</v>
      </c>
      <c r="D1856" t="s">
        <v>1898</v>
      </c>
      <c r="E1856" t="str">
        <f t="shared" si="1120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3">
      <c r="B1857" s="9" t="str">
        <f t="shared" si="1164"/>
        <v>SPS3</v>
      </c>
      <c r="C1857" s="9" t="str">
        <f t="shared" si="1207"/>
        <v>CH</v>
      </c>
      <c r="D1857" s="2" t="s">
        <v>1900</v>
      </c>
      <c r="E1857" s="9" t="str">
        <f t="shared" si="1120"/>
        <v>GWth/yr.</v>
      </c>
      <c r="F1857" s="17">
        <f>SUM(F1858,F1861,F1864,F1868,F1870,F1872,F1874,F1876,F1878)</f>
        <v>3.6051170680586004</v>
      </c>
      <c r="G1857" s="17">
        <f t="shared" ref="G1857:K1857" si="1208">SUM(G1858,G1861,G1864,G1868,G1870,G1872,G1874,G1876,G1878)</f>
        <v>4.1077854040405155</v>
      </c>
      <c r="H1857" s="17">
        <f t="shared" si="1208"/>
        <v>3.9321728342664288</v>
      </c>
      <c r="I1857" s="17">
        <f t="shared" si="1208"/>
        <v>3.0025475409625382</v>
      </c>
      <c r="J1857" s="17">
        <f t="shared" si="1208"/>
        <v>2.9913952003689279</v>
      </c>
      <c r="K1857" s="17">
        <f t="shared" si="1208"/>
        <v>2.6646708188739372</v>
      </c>
    </row>
    <row r="1858" spans="2:11" x14ac:dyDescent="0.3">
      <c r="B1858" s="5" t="str">
        <f t="shared" si="1164"/>
        <v>SPS3</v>
      </c>
      <c r="C1858" s="5" t="str">
        <f t="shared" si="1207"/>
        <v>CH</v>
      </c>
      <c r="D1858" t="s">
        <v>2094</v>
      </c>
      <c r="E1858" t="str">
        <f t="shared" si="1120"/>
        <v>GWth/yr.</v>
      </c>
      <c r="F1858" s="18">
        <f>SUM(F1859:F1860)</f>
        <v>0.61671309762324311</v>
      </c>
      <c r="G1858" s="18">
        <f t="shared" ref="G1858:K1858" si="1209">SUM(G1859:G1860)</f>
        <v>0.82326390167079311</v>
      </c>
      <c r="H1858" s="18">
        <f t="shared" si="1209"/>
        <v>1.0153375108071807</v>
      </c>
      <c r="I1858" s="18">
        <f t="shared" si="1209"/>
        <v>1.0822643258354709</v>
      </c>
      <c r="J1858" s="18">
        <f t="shared" si="1209"/>
        <v>1.3774931117965168</v>
      </c>
      <c r="K1858" s="18">
        <f t="shared" si="1209"/>
        <v>1.3144814868048664</v>
      </c>
    </row>
    <row r="1859" spans="2:11" x14ac:dyDescent="0.3">
      <c r="B1859" s="5" t="str">
        <f t="shared" si="1164"/>
        <v>SPS3</v>
      </c>
      <c r="C1859" s="5" t="str">
        <f t="shared" si="1207"/>
        <v>CH</v>
      </c>
      <c r="D1859" t="s">
        <v>2095</v>
      </c>
      <c r="E1859" t="str">
        <f t="shared" si="1120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0.74501376365641636</v>
      </c>
      <c r="H1859" s="1" cm="1">
        <f t="array" ref="H1859">SUMPRODUCT(([1]OUT_FinalEnergyCons!$B$4:$B$10000="Var_cap")*1,  (ISNUMBER(SEARCH("ITOT-SWHELCBR",[1]OUT_FinalEnergyCons!$A$4:$A$10000)))*1,[1]OUT_FinalEnergyCons!F$4:F$10000)</f>
        <v>0.8313952311897882</v>
      </c>
      <c r="I1859" s="1" cm="1">
        <f t="array" ref="I1859">SUMPRODUCT(([1]OUT_FinalEnergyCons!$B$4:$B$10000="Var_cap")*1,  (ISNUMBER(SEARCH("ITOT-SWHELCBR",[1]OUT_FinalEnergyCons!$A$4:$A$10000)))*1,[1]OUT_FinalEnergyCons!G$4:G$10000)</f>
        <v>0.83225514125689171</v>
      </c>
      <c r="J1859" s="1" cm="1">
        <f t="array" ref="J1859">SUMPRODUCT(([1]OUT_FinalEnergyCons!$B$4:$B$10000="Var_cap")*1,  (ISNUMBER(SEARCH("ITOT-SWHELCBR",[1]OUT_FinalEnergyCons!$A$4:$A$10000)))*1,[1]OUT_FinalEnergyCons!H$4:H$10000)</f>
        <v>1.1272477236624063</v>
      </c>
      <c r="K1859" s="1" cm="1">
        <f t="array" ref="K1859">SUMPRODUCT(([1]OUT_FinalEnergyCons!$B$4:$B$10000="Var_cap")*1,  (ISNUMBER(SEARCH("ITOT-SWHELCBR",[1]OUT_FinalEnergyCons!$A$4:$A$10000)))*1,[1]OUT_FinalEnergyCons!I$4:I$10000)</f>
        <v>1.039837003049664</v>
      </c>
    </row>
    <row r="1860" spans="2:11" x14ac:dyDescent="0.3">
      <c r="B1860" s="5" t="str">
        <f t="shared" si="1164"/>
        <v>SPS3</v>
      </c>
      <c r="C1860" s="5" t="str">
        <f t="shared" si="1207"/>
        <v>CH</v>
      </c>
      <c r="D1860" t="s">
        <v>2096</v>
      </c>
      <c r="E1860" t="str">
        <f t="shared" si="1120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7.8250138014376761E-2</v>
      </c>
      <c r="H1860" s="1" cm="1">
        <f t="array" ref="H1860">SUMPRODUCT(([1]OUT_FinalEnergyCons!$B$4:$B$10000="Var_cap")*1,  (ISNUMBER(SEARCH("ITOT-SWHELCHP",[1]OUT_FinalEnergyCons!$A$4:$A$10000)))*1,[1]OUT_FinalEnergyCons!F$4:F$10000)</f>
        <v>0.18394227961739248</v>
      </c>
      <c r="I1860" s="1" cm="1">
        <f t="array" ref="I1860">SUMPRODUCT(([1]OUT_FinalEnergyCons!$B$4:$B$10000="Var_cap")*1,  (ISNUMBER(SEARCH("ITOT-SWHELCHP",[1]OUT_FinalEnergyCons!$A$4:$A$10000)))*1,[1]OUT_FinalEnergyCons!G$4:G$10000)</f>
        <v>0.25000918457857935</v>
      </c>
      <c r="J1860" s="1" cm="1">
        <f t="array" ref="J1860">SUMPRODUCT(([1]OUT_FinalEnergyCons!$B$4:$B$10000="Var_cap")*1,  (ISNUMBER(SEARCH("ITOT-SWHELCHP",[1]OUT_FinalEnergyCons!$A$4:$A$10000)))*1,[1]OUT_FinalEnergyCons!H$4:H$10000)</f>
        <v>0.25024538813411035</v>
      </c>
      <c r="K1860" s="1" cm="1">
        <f t="array" ref="K1860">SUMPRODUCT(([1]OUT_FinalEnergyCons!$B$4:$B$10000="Var_cap")*1,  (ISNUMBER(SEARCH("ITOT-SWHELCHP",[1]OUT_FinalEnergyCons!$A$4:$A$10000)))*1,[1]OUT_FinalEnergyCons!I$4:I$10000)</f>
        <v>0.27464448375520245</v>
      </c>
    </row>
    <row r="1861" spans="2:11" x14ac:dyDescent="0.3">
      <c r="B1861" s="5" t="str">
        <f t="shared" si="1164"/>
        <v>SPS3</v>
      </c>
      <c r="C1861" s="5" t="str">
        <f>C1860</f>
        <v>CH</v>
      </c>
      <c r="D1861" t="s">
        <v>2097</v>
      </c>
      <c r="E1861" t="str">
        <f t="shared" si="1120"/>
        <v>GWth/yr.</v>
      </c>
      <c r="F1861" s="18">
        <f>SUM(F1862:F1863)</f>
        <v>0.48203776210923066</v>
      </c>
      <c r="G1861" s="18">
        <f t="shared" ref="G1861:K1861" si="1210">SUM(G1862:G1863)</f>
        <v>0.46004045780920599</v>
      </c>
      <c r="H1861" s="18">
        <f t="shared" si="1210"/>
        <v>0.38143123466870449</v>
      </c>
      <c r="I1861" s="18">
        <f t="shared" si="1210"/>
        <v>0.30246537683979541</v>
      </c>
      <c r="J1861" s="18">
        <f t="shared" si="1210"/>
        <v>0.19886663799007409</v>
      </c>
      <c r="K1861" s="18">
        <f t="shared" si="1210"/>
        <v>0.119280047658121</v>
      </c>
    </row>
    <row r="1862" spans="2:11" x14ac:dyDescent="0.3">
      <c r="B1862" s="5" t="str">
        <f t="shared" si="1164"/>
        <v>SPS3</v>
      </c>
      <c r="C1862" s="5" t="str">
        <f t="shared" ref="C1862:C1879" si="1211">C1861</f>
        <v>CH</v>
      </c>
      <c r="D1862" t="s">
        <v>2098</v>
      </c>
      <c r="E1862" t="str">
        <f t="shared" si="1120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0.38003227453287175</v>
      </c>
      <c r="H1862" s="1" cm="1">
        <f t="array" ref="H1862">SUMPRODUCT(([1]OUT_FinalEnergyCons!$B$4:$B$10000="Var_cap")*1,  (ISNUMBER(SEARCH("ITOT-SWHLFOBR",[1]OUT_FinalEnergyCons!$A$4:$A$10000)))*1,[1]OUT_FinalEnergyCons!F$4:F$10000)</f>
        <v>0.38005386987044609</v>
      </c>
      <c r="I1862" s="1" cm="1">
        <f t="array" ref="I1862">SUMPRODUCT(([1]OUT_FinalEnergyCons!$B$4:$B$10000="Var_cap")*1,  (ISNUMBER(SEARCH("ITOT-SWHLFOBR",[1]OUT_FinalEnergyCons!$A$4:$A$10000)))*1,[1]OUT_FinalEnergyCons!G$4:G$10000)</f>
        <v>0.3024644545966429</v>
      </c>
      <c r="J1862" s="1" cm="1">
        <f t="array" ref="J1862">SUMPRODUCT(([1]OUT_FinalEnergyCons!$B$4:$B$10000="Var_cap")*1,  (ISNUMBER(SEARCH("ITOT-SWHLFOBR",[1]OUT_FinalEnergyCons!$A$4:$A$10000)))*1,[1]OUT_FinalEnergyCons!H$4:H$10000)</f>
        <v>0.19882560285310702</v>
      </c>
      <c r="K1862" s="1" cm="1">
        <f t="array" ref="K1862">SUMPRODUCT(([1]OUT_FinalEnergyCons!$B$4:$B$10000="Var_cap")*1,  (ISNUMBER(SEARCH("ITOT-SWHLFOBR",[1]OUT_FinalEnergyCons!$A$4:$A$10000)))*1,[1]OUT_FinalEnergyCons!I$4:I$10000)</f>
        <v>0.11928919762354498</v>
      </c>
    </row>
    <row r="1863" spans="2:11" x14ac:dyDescent="0.3">
      <c r="B1863" s="5" t="str">
        <f t="shared" si="1164"/>
        <v>SPS3</v>
      </c>
      <c r="C1863" s="5" t="str">
        <f t="shared" si="1211"/>
        <v>CH</v>
      </c>
      <c r="D1863" t="s">
        <v>2099</v>
      </c>
      <c r="E1863" t="str">
        <f t="shared" si="1120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0.1057023224783987</v>
      </c>
      <c r="G1863" s="1" cm="1">
        <f t="array" ref="G1863">SUMPRODUCT(([1]OUT_FinalEnergyCons!$B$4:$B$10000="Var_cap")*1,  (ISNUMBER(SEARCH("ITOT-SWHHFOBR",[1]OUT_FinalEnergyCons!$A$4:$A$10000)))*1,[1]OUT_FinalEnergyCons!E$4:E$10000)</f>
        <v>8.000818327633423E-2</v>
      </c>
      <c r="H1863" s="1" cm="1">
        <f t="array" ref="H1863">SUMPRODUCT(([1]OUT_FinalEnergyCons!$B$4:$B$10000="Var_cap")*1,  (ISNUMBER(SEARCH("ITOT-SWHHFOBR",[1]OUT_FinalEnergyCons!$A$4:$A$10000)))*1,[1]OUT_FinalEnergyCons!F$4:F$10000)</f>
        <v>1.3773647982583959E-3</v>
      </c>
      <c r="I1863" s="1" cm="1">
        <f t="array" ref="I1863">SUMPRODUCT(([1]OUT_FinalEnergyCons!$B$4:$B$10000="Var_cap")*1,  (ISNUMBER(SEARCH("ITOT-SWHHFOBR",[1]OUT_FinalEnergyCons!$A$4:$A$10000)))*1,[1]OUT_FinalEnergyCons!G$4:G$10000)</f>
        <v>9.2224315251243638E-7</v>
      </c>
      <c r="J1863" s="1" cm="1">
        <f t="array" ref="J1863">SUMPRODUCT(([1]OUT_FinalEnergyCons!$B$4:$B$10000="Var_cap")*1,  (ISNUMBER(SEARCH("ITOT-SWHHFOBR",[1]OUT_FinalEnergyCons!$A$4:$A$10000)))*1,[1]OUT_FinalEnergyCons!H$4:H$10000)</f>
        <v>4.1035136967067004E-5</v>
      </c>
      <c r="K1863" s="1" cm="1">
        <f t="array" ref="K1863">SUMPRODUCT(([1]OUT_FinalEnergyCons!$B$4:$B$10000="Var_cap")*1,  (ISNUMBER(SEARCH("ITOT-SWHHFOBR",[1]OUT_FinalEnergyCons!$A$4:$A$10000)))*1,[1]OUT_FinalEnergyCons!I$4:I$10000)</f>
        <v>-9.1499654239752976E-6</v>
      </c>
    </row>
    <row r="1864" spans="2:11" x14ac:dyDescent="0.3">
      <c r="B1864" s="5" t="str">
        <f t="shared" si="1164"/>
        <v>SPS3</v>
      </c>
      <c r="C1864" s="5" t="str">
        <f t="shared" si="1211"/>
        <v>CH</v>
      </c>
      <c r="D1864" t="s">
        <v>2100</v>
      </c>
      <c r="E1864" t="str">
        <f t="shared" si="1120"/>
        <v>GWth/yr.</v>
      </c>
      <c r="F1864" s="18">
        <f>SUM(F1865:F1866)</f>
        <v>1.556581895256</v>
      </c>
      <c r="G1864" s="18">
        <f t="shared" ref="G1864:K1864" si="1212">SUM(G1865:G1866)</f>
        <v>1.559691677346787</v>
      </c>
      <c r="H1864" s="18">
        <f t="shared" si="1212"/>
        <v>1.5593230025241007</v>
      </c>
      <c r="I1864" s="18">
        <f t="shared" si="1212"/>
        <v>0.69957874126517883</v>
      </c>
      <c r="J1864" s="18">
        <f t="shared" si="1212"/>
        <v>0.31070243529829372</v>
      </c>
      <c r="K1864" s="18">
        <f t="shared" si="1212"/>
        <v>0.17255382975736797</v>
      </c>
    </row>
    <row r="1865" spans="2:11" x14ac:dyDescent="0.3">
      <c r="B1865" s="5" t="str">
        <f t="shared" si="1164"/>
        <v>SPS3</v>
      </c>
      <c r="C1865" s="5" t="str">
        <f t="shared" si="1211"/>
        <v>CH</v>
      </c>
      <c r="D1865" t="s">
        <v>2101</v>
      </c>
      <c r="E1865" t="str">
        <f t="shared" si="1120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1.5569488732877572</v>
      </c>
      <c r="H1865" s="1" cm="1">
        <f t="array" ref="H1865">SUMPRODUCT(([1]OUT_FinalEnergyCons!$B$4:$B$10000="Var_cap")*1,  (ISNUMBER(SEARCH("ITOT-SWHNGA*BR",[1]OUT_FinalEnergyCons!$A$4:$A$10000)))*1,[1]OUT_FinalEnergyCons!F$4:F$10000)</f>
        <v>1.5565811813279742</v>
      </c>
      <c r="I1865" s="1" cm="1">
        <f t="array" ref="I1865">SUMPRODUCT(([1]OUT_FinalEnergyCons!$B$4:$B$10000="Var_cap")*1,  (ISNUMBER(SEARCH("ITOT-SWHNGA*BR",[1]OUT_FinalEnergyCons!$A$4:$A$10000)))*1,[1]OUT_FinalEnergyCons!G$4:G$10000)</f>
        <v>0.69957563741281337</v>
      </c>
      <c r="J1865" s="1" cm="1">
        <f t="array" ref="J1865">SUMPRODUCT(([1]OUT_FinalEnergyCons!$B$4:$B$10000="Var_cap")*1,  (ISNUMBER(SEARCH("ITOT-SWHNGA*BR",[1]OUT_FinalEnergyCons!$A$4:$A$10000)))*1,[1]OUT_FinalEnergyCons!H$4:H$10000)</f>
        <v>0.30934040955836772</v>
      </c>
      <c r="K1865" s="1" cm="1">
        <f t="array" ref="K1865">SUMPRODUCT(([1]OUT_FinalEnergyCons!$B$4:$B$10000="Var_cap")*1,  (ISNUMBER(SEARCH("ITOT-SWHNGA*BR",[1]OUT_FinalEnergyCons!$A$4:$A$10000)))*1,[1]OUT_FinalEnergyCons!I$4:I$10000)</f>
        <v>0.16886802852145708</v>
      </c>
    </row>
    <row r="1866" spans="2:11" x14ac:dyDescent="0.3">
      <c r="B1866" s="5" t="str">
        <f t="shared" si="1164"/>
        <v>SPS3</v>
      </c>
      <c r="C1866" s="5" t="str">
        <f t="shared" si="1211"/>
        <v>CH</v>
      </c>
      <c r="D1866" t="s">
        <v>2102</v>
      </c>
      <c r="E1866" t="str">
        <f t="shared" si="1120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2.7428040590298701E-3</v>
      </c>
      <c r="H1866" s="1" cm="1">
        <f t="array" ref="H1866">SUMPRODUCT(([1]OUT_FinalEnergyCons!$B$4:$B$10000="Var_cap")*1,  (ISNUMBER(SEARCH("ITOT-SWHNGAHP",[1]OUT_FinalEnergyCons!$A$4:$A$10000)))*1,[1]OUT_FinalEnergyCons!F$4:F$10000)</f>
        <v>2.7418211961266342E-3</v>
      </c>
      <c r="I1866" s="1" cm="1">
        <f t="array" ref="I1866">SUMPRODUCT(([1]OUT_FinalEnergyCons!$B$4:$B$10000="Var_cap")*1,  (ISNUMBER(SEARCH("ITOT-SWHNGAHP",[1]OUT_FinalEnergyCons!$A$4:$A$10000)))*1,[1]OUT_FinalEnergyCons!G$4:G$10000)</f>
        <v>3.1038523654798068E-6</v>
      </c>
      <c r="J1866" s="1" cm="1">
        <f t="array" ref="J1866">SUMPRODUCT(([1]OUT_FinalEnergyCons!$B$4:$B$10000="Var_cap")*1,  (ISNUMBER(SEARCH("ITOT-SWHNGAHP",[1]OUT_FinalEnergyCons!$A$4:$A$10000)))*1,[1]OUT_FinalEnergyCons!H$4:H$10000)</f>
        <v>1.3620257399260234E-3</v>
      </c>
      <c r="K1866" s="1" cm="1">
        <f t="array" ref="K1866">SUMPRODUCT(([1]OUT_FinalEnergyCons!$B$4:$B$10000="Var_cap")*1,  (ISNUMBER(SEARCH("ITOT-SWHNGAHP",[1]OUT_FinalEnergyCons!$A$4:$A$10000)))*1,[1]OUT_FinalEnergyCons!I$4:I$10000)</f>
        <v>3.685801235910884E-3</v>
      </c>
    </row>
    <row r="1867" spans="2:11" x14ac:dyDescent="0.3">
      <c r="B1867" s="5" t="str">
        <f t="shared" si="1164"/>
        <v>SPS3</v>
      </c>
      <c r="C1867" s="5" t="str">
        <f t="shared" si="1211"/>
        <v>CH</v>
      </c>
      <c r="D1867" t="s">
        <v>2103</v>
      </c>
      <c r="E1867" t="str">
        <f t="shared" si="1120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3.0513634154197947E-2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9.421114233943173E-2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9.4330199513017826E-2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0.10325066900842267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0.2005680931943887</v>
      </c>
    </row>
    <row r="1868" spans="2:11" x14ac:dyDescent="0.3">
      <c r="B1868" s="5" t="str">
        <f t="shared" si="1164"/>
        <v>SPS3</v>
      </c>
      <c r="C1868" s="5" t="str">
        <f t="shared" si="1211"/>
        <v>CH</v>
      </c>
      <c r="D1868" t="s">
        <v>2104</v>
      </c>
      <c r="E1868" t="str">
        <f t="shared" si="1120"/>
        <v>GWth/yr.</v>
      </c>
      <c r="F1868" s="1">
        <f>F1869</f>
        <v>0.26172155007150499</v>
      </c>
      <c r="G1868" s="1">
        <f t="shared" ref="G1868:K1868" si="1213">G1869</f>
        <v>0.19848316992047893</v>
      </c>
      <c r="H1868" s="1">
        <f t="shared" si="1213"/>
        <v>2.487207400956426E-3</v>
      </c>
      <c r="I1868" s="1">
        <f t="shared" si="1213"/>
        <v>7.9289314641739495E-7</v>
      </c>
      <c r="J1868" s="1">
        <f t="shared" si="1213"/>
        <v>3.5911348527413895E-5</v>
      </c>
      <c r="K1868" s="1">
        <f t="shared" si="1213"/>
        <v>8.8228097548086507E-5</v>
      </c>
    </row>
    <row r="1869" spans="2:11" x14ac:dyDescent="0.3">
      <c r="B1869" s="5" t="str">
        <f t="shared" si="1164"/>
        <v>SPS3</v>
      </c>
      <c r="C1869" s="5" t="str">
        <f t="shared" si="1211"/>
        <v>CH</v>
      </c>
      <c r="D1869" t="s">
        <v>2105</v>
      </c>
      <c r="E1869" t="str">
        <f t="shared" si="1120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0.19848316992047893</v>
      </c>
      <c r="H1869" s="1" cm="1">
        <f t="array" ref="H1869">SUMPRODUCT(([1]OUT_FinalEnergyCons!$B$4:$B$10000="Var_cap")*1,  (ISNUMBER(SEARCH("ITOT-SWHCOA*BR",[1]OUT_FinalEnergyCons!$A$4:$A$10000)))*1,[1]OUT_FinalEnergyCons!F$4:F$10000)</f>
        <v>2.487207400956426E-3</v>
      </c>
      <c r="I1869" s="1" cm="1">
        <f t="array" ref="I1869">SUMPRODUCT(([1]OUT_FinalEnergyCons!$B$4:$B$10000="Var_cap")*1,  (ISNUMBER(SEARCH("ITOT-SWHCOA*BR",[1]OUT_FinalEnergyCons!$A$4:$A$10000)))*1,[1]OUT_FinalEnergyCons!G$4:G$10000)</f>
        <v>7.9289314641739495E-7</v>
      </c>
      <c r="J1869" s="1" cm="1">
        <f t="array" ref="J1869">SUMPRODUCT(([1]OUT_FinalEnergyCons!$B$4:$B$10000="Var_cap")*1,  (ISNUMBER(SEARCH("ITOT-SWHCOA*BR",[1]OUT_FinalEnergyCons!$A$4:$A$10000)))*1,[1]OUT_FinalEnergyCons!H$4:H$10000)</f>
        <v>3.5911348527413895E-5</v>
      </c>
      <c r="K1869" s="1" cm="1">
        <f t="array" ref="K1869">SUMPRODUCT(([1]OUT_FinalEnergyCons!$B$4:$B$10000="Var_cap")*1,  (ISNUMBER(SEARCH("ITOT-SWHCOA*BR",[1]OUT_FinalEnergyCons!$A$4:$A$10000)))*1,[1]OUT_FinalEnergyCons!I$4:I$10000)</f>
        <v>8.8228097548086507E-5</v>
      </c>
    </row>
    <row r="1870" spans="2:11" x14ac:dyDescent="0.3">
      <c r="B1870" s="5" t="str">
        <f t="shared" si="1164"/>
        <v>SPS3</v>
      </c>
      <c r="C1870" s="5" t="str">
        <f t="shared" si="1211"/>
        <v>CH</v>
      </c>
      <c r="D1870" t="s">
        <v>2106</v>
      </c>
      <c r="E1870" t="str">
        <f t="shared" si="1120"/>
        <v>GWth/yr.</v>
      </c>
      <c r="F1870" s="1">
        <f>F1871</f>
        <v>0.28883369534761499</v>
      </c>
      <c r="G1870" s="1">
        <f t="shared" ref="G1870:K1870" si="1214">G1871</f>
        <v>0.34423472461910692</v>
      </c>
      <c r="H1870" s="1">
        <f t="shared" si="1214"/>
        <v>0.34405799126822373</v>
      </c>
      <c r="I1870" s="1">
        <f t="shared" si="1214"/>
        <v>0.34236496427938951</v>
      </c>
      <c r="J1870" s="1">
        <f t="shared" si="1214"/>
        <v>0.4143361003116387</v>
      </c>
      <c r="K1870" s="1">
        <f t="shared" si="1214"/>
        <v>0.26470684784481963</v>
      </c>
    </row>
    <row r="1871" spans="2:11" x14ac:dyDescent="0.3">
      <c r="B1871" s="5" t="str">
        <f t="shared" si="1164"/>
        <v>SPS3</v>
      </c>
      <c r="C1871" s="5" t="str">
        <f t="shared" si="1211"/>
        <v>CH</v>
      </c>
      <c r="D1871" t="s">
        <v>2107</v>
      </c>
      <c r="E1871" t="str">
        <f t="shared" si="1120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0.34423472461910692</v>
      </c>
      <c r="H1871" s="1" cm="1">
        <f t="array" ref="H1871">SUMPRODUCT(([1]OUT_FinalEnergyCons!$B$4:$B$10000="Var_cap")*1,  (ISNUMBER(SEARCH("ITOT-SWHWOD*BR",[1]OUT_FinalEnergyCons!$A$4:$A$10000)))*1,[1]OUT_FinalEnergyCons!F$4:F$10000)</f>
        <v>0.34405799126822373</v>
      </c>
      <c r="I1871" s="1" cm="1">
        <f t="array" ref="I1871">SUMPRODUCT(([1]OUT_FinalEnergyCons!$B$4:$B$10000="Var_cap")*1,  (ISNUMBER(SEARCH("ITOT-SWHWOD*BR",[1]OUT_FinalEnergyCons!$A$4:$A$10000)))*1,[1]OUT_FinalEnergyCons!G$4:G$10000)</f>
        <v>0.34236496427938951</v>
      </c>
      <c r="J1871" s="1" cm="1">
        <f t="array" ref="J1871">SUMPRODUCT(([1]OUT_FinalEnergyCons!$B$4:$B$10000="Var_cap")*1,  (ISNUMBER(SEARCH("ITOT-SWHWOD*BR",[1]OUT_FinalEnergyCons!$A$4:$A$10000)))*1,[1]OUT_FinalEnergyCons!H$4:H$10000)</f>
        <v>0.4143361003116387</v>
      </c>
      <c r="K1871" s="1" cm="1">
        <f t="array" ref="K1871">SUMPRODUCT(([1]OUT_FinalEnergyCons!$B$4:$B$10000="Var_cap")*1,  (ISNUMBER(SEARCH("ITOT-SWHWOD*BR",[1]OUT_FinalEnergyCons!$A$4:$A$10000)))*1,[1]OUT_FinalEnergyCons!I$4:I$10000)</f>
        <v>0.26470684784481963</v>
      </c>
    </row>
    <row r="1872" spans="2:11" x14ac:dyDescent="0.3">
      <c r="B1872" s="5" t="str">
        <f t="shared" si="1164"/>
        <v>SPS3</v>
      </c>
      <c r="C1872" s="5" t="str">
        <f t="shared" si="1211"/>
        <v>CH</v>
      </c>
      <c r="D1872" t="s">
        <v>2108</v>
      </c>
      <c r="E1872" t="str">
        <f t="shared" si="1120"/>
        <v>GWth/yr.</v>
      </c>
      <c r="F1872" s="1">
        <f>F1873</f>
        <v>2.9860759506449799E-2</v>
      </c>
      <c r="G1872" s="1">
        <f t="shared" ref="G1872:K1872" si="1215">G1873</f>
        <v>3.8406227266694237E-2</v>
      </c>
      <c r="H1872" s="1">
        <f t="shared" si="1215"/>
        <v>3.8682034245344013E-2</v>
      </c>
      <c r="I1872" s="1">
        <f t="shared" si="1215"/>
        <v>3.8631967844712803E-2</v>
      </c>
      <c r="J1872" s="1">
        <f t="shared" si="1215"/>
        <v>3.8965501554672974E-2</v>
      </c>
      <c r="K1872" s="1">
        <f t="shared" si="1215"/>
        <v>3.7502681096782016E-2</v>
      </c>
    </row>
    <row r="1873" spans="2:11" x14ac:dyDescent="0.3">
      <c r="B1873" s="5" t="str">
        <f t="shared" si="1164"/>
        <v>SPS3</v>
      </c>
      <c r="C1873" s="5" t="str">
        <f t="shared" si="1211"/>
        <v>CH</v>
      </c>
      <c r="D1873" t="s">
        <v>2109</v>
      </c>
      <c r="E1873" t="str">
        <f t="shared" si="1120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3.8406227266694237E-2</v>
      </c>
      <c r="H1873" s="1" cm="1">
        <f t="array" ref="H1873">SUMPRODUCT(([1]OUT_FinalEnergyCons!$B$4:$B$10000="Var_cap")*1,  (ISNUMBER(SEARCH("ITOT-SWHPLT*BR",[1]OUT_FinalEnergyCons!$A$4:$A$10000)))*1,[1]OUT_FinalEnergyCons!F$4:F$10000)</f>
        <v>3.8682034245344013E-2</v>
      </c>
      <c r="I1873" s="1" cm="1">
        <f t="array" ref="I1873">SUMPRODUCT(([1]OUT_FinalEnergyCons!$B$4:$B$10000="Var_cap")*1,  (ISNUMBER(SEARCH("ITOT-SWHPLT*BR",[1]OUT_FinalEnergyCons!$A$4:$A$10000)))*1,[1]OUT_FinalEnergyCons!G$4:G$10000)</f>
        <v>3.8631967844712803E-2</v>
      </c>
      <c r="J1873" s="1" cm="1">
        <f t="array" ref="J1873">SUMPRODUCT(([1]OUT_FinalEnergyCons!$B$4:$B$10000="Var_cap")*1,  (ISNUMBER(SEARCH("ITOT-SWHPLT*BR",[1]OUT_FinalEnergyCons!$A$4:$A$10000)))*1,[1]OUT_FinalEnergyCons!H$4:H$10000)</f>
        <v>3.8965501554672974E-2</v>
      </c>
      <c r="K1873" s="1" cm="1">
        <f t="array" ref="K1873">SUMPRODUCT(([1]OUT_FinalEnergyCons!$B$4:$B$10000="Var_cap")*1,  (ISNUMBER(SEARCH("ITOT-SWHPLT*BR",[1]OUT_FinalEnergyCons!$A$4:$A$10000)))*1,[1]OUT_FinalEnergyCons!I$4:I$10000)</f>
        <v>3.7502681096782016E-2</v>
      </c>
    </row>
    <row r="1874" spans="2:11" x14ac:dyDescent="0.3">
      <c r="B1874" s="5" t="str">
        <f t="shared" si="1164"/>
        <v>SPS3</v>
      </c>
      <c r="C1874" s="5" t="str">
        <f t="shared" si="1211"/>
        <v>CH</v>
      </c>
      <c r="D1874" t="s">
        <v>2110</v>
      </c>
      <c r="E1874" t="str">
        <f t="shared" si="1120"/>
        <v>GWth/yr.</v>
      </c>
      <c r="F1874" s="1">
        <f>F1875</f>
        <v>0.35954682816669398</v>
      </c>
      <c r="G1874" s="1">
        <f t="shared" ref="G1874:K1874" si="1216">G1875</f>
        <v>0.34447278690377775</v>
      </c>
      <c r="H1874" s="1">
        <f t="shared" si="1216"/>
        <v>0.25166083051634452</v>
      </c>
      <c r="I1874" s="1">
        <f t="shared" si="1216"/>
        <v>0.19804500528560817</v>
      </c>
      <c r="J1874" s="1">
        <f t="shared" si="1216"/>
        <v>9.1519683987123669E-3</v>
      </c>
      <c r="K1874" s="1">
        <f t="shared" si="1216"/>
        <v>1.8566413276950924E-4</v>
      </c>
    </row>
    <row r="1875" spans="2:11" x14ac:dyDescent="0.3">
      <c r="B1875" s="5" t="str">
        <f t="shared" si="1164"/>
        <v>SPS3</v>
      </c>
      <c r="C1875" s="5" t="str">
        <f t="shared" si="1211"/>
        <v>CH</v>
      </c>
      <c r="D1875" t="s">
        <v>2111</v>
      </c>
      <c r="E1875" t="str">
        <f t="shared" si="1120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0.34447278690377775</v>
      </c>
      <c r="H1875" s="1" cm="1">
        <f t="array" ref="H1875">SUMPRODUCT(([1]OUT_FinalEnergyCons!$B$4:$B$10000="Var_cap")*1,  (ISNUMBER(SEARCH("ITOT-SWHWST*BR",[1]OUT_FinalEnergyCons!$A$4:$A$10000)))*1,[1]OUT_FinalEnergyCons!F$4:F$10000)</f>
        <v>0.25166083051634452</v>
      </c>
      <c r="I1875" s="1" cm="1">
        <f t="array" ref="I1875">SUMPRODUCT(([1]OUT_FinalEnergyCons!$B$4:$B$10000="Var_cap")*1,  (ISNUMBER(SEARCH("ITOT-SWHWST*BR",[1]OUT_FinalEnergyCons!$A$4:$A$10000)))*1,[1]OUT_FinalEnergyCons!G$4:G$10000)</f>
        <v>0.19804500528560817</v>
      </c>
      <c r="J1875" s="1" cm="1">
        <f t="array" ref="J1875">SUMPRODUCT(([1]OUT_FinalEnergyCons!$B$4:$B$10000="Var_cap")*1,  (ISNUMBER(SEARCH("ITOT-SWHWST*BR",[1]OUT_FinalEnergyCons!$A$4:$A$10000)))*1,[1]OUT_FinalEnergyCons!H$4:H$10000)</f>
        <v>9.1519683987123669E-3</v>
      </c>
      <c r="K1875" s="1" cm="1">
        <f t="array" ref="K1875">SUMPRODUCT(([1]OUT_FinalEnergyCons!$B$4:$B$10000="Var_cap")*1,  (ISNUMBER(SEARCH("ITOT-SWHWST*BR",[1]OUT_FinalEnergyCons!$A$4:$A$10000)))*1,[1]OUT_FinalEnergyCons!I$4:I$10000)</f>
        <v>1.8566413276950924E-4</v>
      </c>
    </row>
    <row r="1876" spans="2:11" x14ac:dyDescent="0.3">
      <c r="B1876" s="5" t="str">
        <f t="shared" si="1164"/>
        <v>SPS3</v>
      </c>
      <c r="C1876" s="5" t="str">
        <f t="shared" si="1211"/>
        <v>CH</v>
      </c>
      <c r="D1876" t="s">
        <v>2112</v>
      </c>
      <c r="E1876" t="str">
        <f t="shared" si="1120"/>
        <v>GWth/yr.</v>
      </c>
      <c r="F1876" s="1">
        <f>F1877</f>
        <v>9.8214799778629808E-3</v>
      </c>
      <c r="G1876" s="1">
        <f t="shared" ref="G1876:K1876" si="1217">G1877</f>
        <v>0.33919245850367097</v>
      </c>
      <c r="H1876" s="1">
        <f t="shared" si="1217"/>
        <v>0.33919302283557395</v>
      </c>
      <c r="I1876" s="1">
        <f t="shared" si="1217"/>
        <v>0.33919636671923598</v>
      </c>
      <c r="J1876" s="1">
        <f t="shared" si="1217"/>
        <v>0.339190600354979</v>
      </c>
      <c r="K1876" s="1">
        <f t="shared" si="1217"/>
        <v>0.339189888946476</v>
      </c>
    </row>
    <row r="1877" spans="2:11" x14ac:dyDescent="0.3">
      <c r="B1877" s="5" t="str">
        <f t="shared" si="1164"/>
        <v>SPS3</v>
      </c>
      <c r="C1877" s="5" t="str">
        <f t="shared" si="1211"/>
        <v>CH</v>
      </c>
      <c r="D1877" t="s">
        <v>2113</v>
      </c>
      <c r="E1877" t="str">
        <f t="shared" si="1120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0.33919245850367097</v>
      </c>
      <c r="H1877" s="1" cm="1">
        <f t="array" ref="H1877">SUMPRODUCT(([1]OUT_FinalEnergyCons!$B$4:$B$10000="Var_cap")*1, (ISNUMBER(SEARCH("ITOT-SWHSOLBR",[1]OUT_FinalEnergyCons!$A$4:$A$10000)))*1,[1]OUT_FinalEnergyCons!F$4:F$10000)</f>
        <v>0.33919302283557395</v>
      </c>
      <c r="I1877" s="1" cm="1">
        <f t="array" ref="I1877">SUMPRODUCT(([1]OUT_FinalEnergyCons!$B$4:$B$10000="Var_cap")*1, (ISNUMBER(SEARCH("ITOT-SWHSOLBR",[1]OUT_FinalEnergyCons!$A$4:$A$10000)))*1,[1]OUT_FinalEnergyCons!G$4:G$10000)</f>
        <v>0.33919636671923598</v>
      </c>
      <c r="J1877" s="1" cm="1">
        <f t="array" ref="J1877">SUMPRODUCT(([1]OUT_FinalEnergyCons!$B$4:$B$10000="Var_cap")*1, (ISNUMBER(SEARCH("ITOT-SWHSOLBR",[1]OUT_FinalEnergyCons!$A$4:$A$10000)))*1,[1]OUT_FinalEnergyCons!H$4:H$10000)</f>
        <v>0.339190600354979</v>
      </c>
      <c r="K1877" s="1" cm="1">
        <f t="array" ref="K1877">SUMPRODUCT(([1]OUT_FinalEnergyCons!$B$4:$B$10000="Var_cap")*1, (ISNUMBER(SEARCH("ITOT-SWHSOLBR",[1]OUT_FinalEnergyCons!$A$4:$A$10000)))*1,[1]OUT_FinalEnergyCons!I$4:I$10000)</f>
        <v>0.339189888946476</v>
      </c>
    </row>
    <row r="1878" spans="2:11" x14ac:dyDescent="0.3">
      <c r="B1878" s="5" t="str">
        <f t="shared" si="1164"/>
        <v>SPS3</v>
      </c>
      <c r="C1878" s="5" t="str">
        <f t="shared" si="1211"/>
        <v>CH</v>
      </c>
      <c r="D1878" t="s">
        <v>2114</v>
      </c>
      <c r="E1878" t="str">
        <f t="shared" si="1120"/>
        <v>GWth/yr.</v>
      </c>
      <c r="F1878" s="1">
        <f>F1879</f>
        <v>0</v>
      </c>
      <c r="G1878" s="1">
        <f t="shared" ref="G1878:K1878" si="1218">G1879</f>
        <v>0</v>
      </c>
      <c r="H1878" s="1">
        <f t="shared" si="1218"/>
        <v>0</v>
      </c>
      <c r="I1878" s="1">
        <f t="shared" si="1218"/>
        <v>0</v>
      </c>
      <c r="J1878" s="1">
        <f t="shared" si="1218"/>
        <v>0.30265293331551318</v>
      </c>
      <c r="K1878" s="1">
        <f t="shared" si="1218"/>
        <v>0.41668214453518659</v>
      </c>
    </row>
    <row r="1879" spans="2:11" x14ac:dyDescent="0.3">
      <c r="B1879" s="5" t="str">
        <f t="shared" si="1164"/>
        <v>SPS3</v>
      </c>
      <c r="C1879" s="5" t="str">
        <f t="shared" si="1211"/>
        <v>CH</v>
      </c>
      <c r="D1879" t="s">
        <v>2115</v>
      </c>
      <c r="E1879" t="str">
        <f t="shared" si="1120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0</v>
      </c>
      <c r="J1879" s="1" cm="1">
        <f t="array" ref="J1879">SUMPRODUCT(([1]OUT_FinalEnergyCons!$B$4:$B$10000="Var_cap")*1, (ISNUMBER(SEARCH("ITOT-SWHH2BR",[1]OUT_FinalEnergyCons!$A$4:$A$10000)))*1,[1]OUT_FinalEnergyCons!H$4:H$10000)</f>
        <v>0.30265293331551318</v>
      </c>
      <c r="K1879" s="1" cm="1">
        <f t="array" ref="K1879">SUMPRODUCT(([1]OUT_FinalEnergyCons!$B$4:$B$10000="Var_cap")*1, (ISNUMBER(SEARCH("ITOT-SWHH2BR",[1]OUT_FinalEnergyCons!$A$4:$A$10000)))*1,[1]OUT_FinalEnergyCons!I$4:I$10000)</f>
        <v>0.41668214453518659</v>
      </c>
    </row>
    <row r="1880" spans="2:11" x14ac:dyDescent="0.3">
      <c r="B1880" s="9" t="str">
        <f t="shared" si="1164"/>
        <v>SPS3</v>
      </c>
      <c r="C1880" s="9" t="str">
        <f>C1808</f>
        <v>CH</v>
      </c>
      <c r="D1880" s="2" t="s">
        <v>1901</v>
      </c>
      <c r="E1880" s="9" t="str">
        <f t="shared" si="1120"/>
        <v>GWth/yr.</v>
      </c>
      <c r="F1880" s="17">
        <f>SUM(F1881,F1884,F1886,F1890,F1892,F1894,F1896)</f>
        <v>6.1447534166841189</v>
      </c>
      <c r="G1880" s="17">
        <f t="shared" ref="G1880:K1880" si="1219">SUM(G1881,G1884,G1886,G1890,G1892,G1894,G1896)</f>
        <v>5.8192043437885124</v>
      </c>
      <c r="H1880" s="17">
        <f t="shared" si="1219"/>
        <v>4.9267843278775789</v>
      </c>
      <c r="I1880" s="17">
        <f t="shared" si="1219"/>
        <v>5.8669314306798217</v>
      </c>
      <c r="J1880" s="17">
        <f t="shared" si="1219"/>
        <v>4.5725320081317014</v>
      </c>
      <c r="K1880" s="17">
        <f t="shared" si="1219"/>
        <v>4.061767537918886</v>
      </c>
    </row>
    <row r="1881" spans="2:11" x14ac:dyDescent="0.3">
      <c r="B1881" s="5" t="str">
        <f t="shared" si="1164"/>
        <v>SPS3</v>
      </c>
      <c r="C1881" s="5" t="str">
        <f>C1880</f>
        <v>CH</v>
      </c>
      <c r="D1881" t="s">
        <v>1902</v>
      </c>
      <c r="E1881" t="str">
        <f t="shared" si="1120"/>
        <v>GWth/yr.</v>
      </c>
      <c r="F1881" s="1">
        <f>SUM(F1882:F1883)</f>
        <v>0.61566177409447986</v>
      </c>
      <c r="G1881" s="1">
        <f t="shared" ref="G1881:K1881" si="1220">SUM(G1882:G1883)</f>
        <v>0.4373814315429001</v>
      </c>
      <c r="H1881" s="1">
        <f t="shared" si="1220"/>
        <v>0.52318160371232247</v>
      </c>
      <c r="I1881" s="1">
        <f t="shared" si="1220"/>
        <v>1.2081591667137179</v>
      </c>
      <c r="J1881" s="1">
        <f t="shared" si="1220"/>
        <v>1.8241570226524864</v>
      </c>
      <c r="K1881" s="1">
        <f t="shared" si="1220"/>
        <v>1.6966926874937185</v>
      </c>
    </row>
    <row r="1882" spans="2:11" x14ac:dyDescent="0.3">
      <c r="B1882" s="5" t="str">
        <f t="shared" si="1164"/>
        <v>SPS3</v>
      </c>
      <c r="C1882" s="5" t="str">
        <f>C1881</f>
        <v>CH</v>
      </c>
      <c r="D1882" t="s">
        <v>1903</v>
      </c>
      <c r="E1882" t="str">
        <f t="shared" si="1120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0.18503198409826369</v>
      </c>
      <c r="G1882" s="1" cm="1">
        <f t="array" ref="G1882">SUMPRODUCT(([1]OUT_FinalEnergyCons!$B$4:$B$10000="Var_cap")*1, (ISNUMBER(SEARCH("SCOM-SHELCBR",[1]OUT_FinalEnergyCons!$A$4:$A$10000)))*1,[1]OUT_FinalEnergyCons!E$4:E$10000)</f>
        <v>6.7212799685547608E-3</v>
      </c>
      <c r="H1882" s="1" cm="1">
        <f t="array" ref="H1882">SUMPRODUCT(([1]OUT_FinalEnergyCons!$B$4:$B$10000="Var_cap")*1, (ISNUMBER(SEARCH("SCOM-SHELCBR",[1]OUT_FinalEnergyCons!$A$4:$A$10000)))*1,[1]OUT_FinalEnergyCons!F$4:F$10000)</f>
        <v>3.88417923418439E-2</v>
      </c>
      <c r="I1882" s="1" cm="1">
        <f t="array" ref="I1882">SUMPRODUCT(([1]OUT_FinalEnergyCons!$B$4:$B$10000="Var_cap")*1, (ISNUMBER(SEARCH("SCOM-SHELCBR",[1]OUT_FinalEnergyCons!$A$4:$A$10000)))*1,[1]OUT_FinalEnergyCons!G$4:G$10000)</f>
        <v>3.8319384592589489E-2</v>
      </c>
      <c r="J1882" s="1" cm="1">
        <f t="array" ref="J1882">SUMPRODUCT(([1]OUT_FinalEnergyCons!$B$4:$B$10000="Var_cap")*1, (ISNUMBER(SEARCH("SCOM-SHELCBR",[1]OUT_FinalEnergyCons!$A$4:$A$10000)))*1,[1]OUT_FinalEnergyCons!H$4:H$10000)</f>
        <v>2.501257418531606E-2</v>
      </c>
      <c r="K1882" s="1" cm="1">
        <f t="array" ref="K1882">SUMPRODUCT(([1]OUT_FinalEnergyCons!$B$4:$B$10000="Var_cap")*1, (ISNUMBER(SEARCH("SCOM-SHELCBR",[1]OUT_FinalEnergyCons!$A$4:$A$10000)))*1,[1]OUT_FinalEnergyCons!I$4:I$10000)</f>
        <v>1.6239312473180841E-2</v>
      </c>
    </row>
    <row r="1883" spans="2:11" x14ac:dyDescent="0.3">
      <c r="B1883" s="5" t="str">
        <f t="shared" si="1164"/>
        <v>SPS3</v>
      </c>
      <c r="C1883" s="5" t="str">
        <f t="shared" ref="C1883" si="1221">C1882</f>
        <v>CH</v>
      </c>
      <c r="D1883" t="s">
        <v>1904</v>
      </c>
      <c r="E1883" t="str">
        <f t="shared" si="1120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0.43062978999621621</v>
      </c>
      <c r="G1883" s="1" cm="1">
        <f t="array" ref="G1883">SUMPRODUCT(([1]OUT_FinalEnergyCons!$B$4:$B$10000="Var_cap")*1, (ISNUMBER(SEARCH("SCOM-SHELCHP",[1]OUT_FinalEnergyCons!$A$4:$A$10000)))*1,[1]OUT_FinalEnergyCons!E$4:E$10000)</f>
        <v>0.43066015157434534</v>
      </c>
      <c r="H1883" s="1" cm="1">
        <f t="array" ref="H1883">SUMPRODUCT(([1]OUT_FinalEnergyCons!$B$4:$B$10000="Var_cap")*1, (ISNUMBER(SEARCH("SCOM-SHELCHP",[1]OUT_FinalEnergyCons!$A$4:$A$10000)))*1,[1]OUT_FinalEnergyCons!F$4:F$10000)</f>
        <v>0.4843398113704786</v>
      </c>
      <c r="I1883" s="1" cm="1">
        <f t="array" ref="I1883">SUMPRODUCT(([1]OUT_FinalEnergyCons!$B$4:$B$10000="Var_cap")*1, (ISNUMBER(SEARCH("SCOM-SHELCHP",[1]OUT_FinalEnergyCons!$A$4:$A$10000)))*1,[1]OUT_FinalEnergyCons!G$4:G$10000)</f>
        <v>1.1698397821211284</v>
      </c>
      <c r="J1883" s="1" cm="1">
        <f t="array" ref="J1883">SUMPRODUCT(([1]OUT_FinalEnergyCons!$B$4:$B$10000="Var_cap")*1, (ISNUMBER(SEARCH("SCOM-SHELCHP",[1]OUT_FinalEnergyCons!$A$4:$A$10000)))*1,[1]OUT_FinalEnergyCons!H$4:H$10000)</f>
        <v>1.7991444484671704</v>
      </c>
      <c r="K1883" s="1" cm="1">
        <f t="array" ref="K1883">SUMPRODUCT(([1]OUT_FinalEnergyCons!$B$4:$B$10000="Var_cap")*1, (ISNUMBER(SEARCH("SCOM-SHELCHP",[1]OUT_FinalEnergyCons!$A$4:$A$10000)))*1,[1]OUT_FinalEnergyCons!I$4:I$10000)</f>
        <v>1.6804533750205377</v>
      </c>
    </row>
    <row r="1884" spans="2:11" x14ac:dyDescent="0.3">
      <c r="B1884" s="5" t="str">
        <f t="shared" si="1164"/>
        <v>SPS3</v>
      </c>
      <c r="C1884" s="5" t="str">
        <f t="shared" ref="C1884" si="1222">C1883</f>
        <v>CH</v>
      </c>
      <c r="D1884" t="s">
        <v>1905</v>
      </c>
      <c r="E1884" t="str">
        <f t="shared" si="1120"/>
        <v>GWth/yr.</v>
      </c>
      <c r="F1884" s="1">
        <f>F1885</f>
        <v>1.9286000094550071</v>
      </c>
      <c r="G1884" s="1">
        <f t="shared" ref="G1884:K1884" si="1223">G1885</f>
        <v>1.8880789075666868</v>
      </c>
      <c r="H1884" s="1">
        <f t="shared" si="1223"/>
        <v>1.5203373225273902</v>
      </c>
      <c r="I1884" s="1">
        <f t="shared" si="1223"/>
        <v>1.5173943681337236</v>
      </c>
      <c r="J1884" s="1">
        <f t="shared" si="1223"/>
        <v>0.14919220084648196</v>
      </c>
      <c r="K1884" s="1">
        <f t="shared" si="1223"/>
        <v>9.6963643518657994E-3</v>
      </c>
    </row>
    <row r="1885" spans="2:11" x14ac:dyDescent="0.3">
      <c r="B1885" s="5" t="str">
        <f t="shared" si="1164"/>
        <v>SPS3</v>
      </c>
      <c r="C1885" s="5" t="str">
        <f t="shared" ref="C1885" si="1224">C1884</f>
        <v>CH</v>
      </c>
      <c r="D1885" t="s">
        <v>1906</v>
      </c>
      <c r="E1885" t="str">
        <f t="shared" ref="E1885:E1897" si="1225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1.9286000094550071</v>
      </c>
      <c r="G1885" s="1" cm="1">
        <f t="array" ref="G1885">SUMPRODUCT(([1]OUT_FinalEnergyCons!$B$4:$B$10000="Var_cap")*1,(ISNUMBER(SEARCH("SCOM-SHLFOBR",[1]OUT_FinalEnergyCons!$A$4:$A$10000)))*1,[1]OUT_FinalEnergyCons!E$4:E$10000)</f>
        <v>1.8880789075666868</v>
      </c>
      <c r="H1885" s="1" cm="1">
        <f t="array" ref="H1885">SUMPRODUCT(([1]OUT_FinalEnergyCons!$B$4:$B$10000="Var_cap")*1,(ISNUMBER(SEARCH("SCOM-SHLFOBR",[1]OUT_FinalEnergyCons!$A$4:$A$10000)))*1,[1]OUT_FinalEnergyCons!F$4:F$10000)</f>
        <v>1.5203373225273902</v>
      </c>
      <c r="I1885" s="1" cm="1">
        <f t="array" ref="I1885">SUMPRODUCT(([1]OUT_FinalEnergyCons!$B$4:$B$10000="Var_cap")*1,(ISNUMBER(SEARCH("SCOM-SHLFOBR",[1]OUT_FinalEnergyCons!$A$4:$A$10000)))*1,[1]OUT_FinalEnergyCons!G$4:G$10000)</f>
        <v>1.5173943681337236</v>
      </c>
      <c r="J1885" s="1" cm="1">
        <f t="array" ref="J1885">SUMPRODUCT(([1]OUT_FinalEnergyCons!$B$4:$B$10000="Var_cap")*1,(ISNUMBER(SEARCH("SCOM-SHLFOBR",[1]OUT_FinalEnergyCons!$A$4:$A$10000)))*1,[1]OUT_FinalEnergyCons!H$4:H$10000)</f>
        <v>0.14919220084648196</v>
      </c>
      <c r="K1885" s="1" cm="1">
        <f t="array" ref="K1885">SUMPRODUCT(([1]OUT_FinalEnergyCons!$B$4:$B$10000="Var_cap")*1,(ISNUMBER(SEARCH("SCOM-SHLFOBR",[1]OUT_FinalEnergyCons!$A$4:$A$10000)))*1,[1]OUT_FinalEnergyCons!I$4:I$10000)</f>
        <v>9.6963643518657994E-3</v>
      </c>
    </row>
    <row r="1886" spans="2:11" x14ac:dyDescent="0.3">
      <c r="B1886" s="5" t="str">
        <f t="shared" si="1164"/>
        <v>SPS3</v>
      </c>
      <c r="C1886" s="5" t="str">
        <f t="shared" ref="C1886" si="1226">C1885</f>
        <v>CH</v>
      </c>
      <c r="D1886" t="s">
        <v>1907</v>
      </c>
      <c r="E1886" t="str">
        <f t="shared" si="1225"/>
        <v>GWth/yr.</v>
      </c>
      <c r="F1886" s="1">
        <f>SUM(F1887:F1889)</f>
        <v>2.8800376206018767</v>
      </c>
      <c r="G1886" s="1">
        <f t="shared" ref="G1886:K1886" si="1227">SUM(G1887:G1889)</f>
        <v>2.739536124062004</v>
      </c>
      <c r="H1886" s="1">
        <f t="shared" si="1227"/>
        <v>2.2565960613517309</v>
      </c>
      <c r="I1886" s="1">
        <f t="shared" si="1227"/>
        <v>2.4784842040082014</v>
      </c>
      <c r="J1886" s="1">
        <f t="shared" si="1227"/>
        <v>0.99787407644840631</v>
      </c>
      <c r="K1886" s="1">
        <f t="shared" si="1227"/>
        <v>0.71047272685207408</v>
      </c>
    </row>
    <row r="1887" spans="2:11" x14ac:dyDescent="0.3">
      <c r="B1887" s="5" t="str">
        <f t="shared" si="1164"/>
        <v>SPS3</v>
      </c>
      <c r="C1887" s="5" t="str">
        <f t="shared" ref="C1887" si="1228">C1886</f>
        <v>CH</v>
      </c>
      <c r="D1887" t="s">
        <v>1908</v>
      </c>
      <c r="E1887" t="str">
        <f t="shared" si="1225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2.774683121179736</v>
      </c>
      <c r="G1887" s="1" cm="1">
        <f t="array" ref="G1887">SUMPRODUCT(([1]OUT_FinalEnergyCons!$B$4:$B$10000="Var_cap")*1, (ISNUMBER(SEARCH("SCOM-SHNGABR",[1]OUT_FinalEnergyCons!$A$4:$A$10000)))*1,[1]OUT_FinalEnergyCons!E$4:E$10000)</f>
        <v>2.633447340277459</v>
      </c>
      <c r="H1887" s="1" cm="1">
        <f t="array" ref="H1887">SUMPRODUCT(([1]OUT_FinalEnergyCons!$B$4:$B$10000="Var_cap")*1, (ISNUMBER(SEARCH("SCOM-SHNGABR",[1]OUT_FinalEnergyCons!$A$4:$A$10000)))*1,[1]OUT_FinalEnergyCons!F$4:F$10000)</f>
        <v>1.9862580217191468</v>
      </c>
      <c r="I1887" s="1" cm="1">
        <f t="array" ref="I1887">SUMPRODUCT(([1]OUT_FinalEnergyCons!$B$4:$B$10000="Var_cap")*1, (ISNUMBER(SEARCH("SCOM-SHNGABR",[1]OUT_FinalEnergyCons!$A$4:$A$10000)))*1,[1]OUT_FinalEnergyCons!G$4:G$10000)</f>
        <v>1.9846809989539282</v>
      </c>
      <c r="J1887" s="1" cm="1">
        <f t="array" ref="J1887">SUMPRODUCT(([1]OUT_FinalEnergyCons!$B$4:$B$10000="Var_cap")*1, (ISNUMBER(SEARCH("SCOM-SHNGABR",[1]OUT_FinalEnergyCons!$A$4:$A$10000)))*1,[1]OUT_FinalEnergyCons!H$4:H$10000)</f>
        <v>0.40164751004541754</v>
      </c>
      <c r="K1887" s="1" cm="1">
        <f t="array" ref="K1887">SUMPRODUCT(([1]OUT_FinalEnergyCons!$B$4:$B$10000="Var_cap")*1, (ISNUMBER(SEARCH("SCOM-SHNGABR",[1]OUT_FinalEnergyCons!$A$4:$A$10000)))*1,[1]OUT_FinalEnergyCons!I$4:I$10000)</f>
        <v>0.2282236978676285</v>
      </c>
    </row>
    <row r="1888" spans="2:11" x14ac:dyDescent="0.3">
      <c r="B1888" s="5" t="str">
        <f t="shared" si="1164"/>
        <v>SPS3</v>
      </c>
      <c r="C1888" s="5" t="str">
        <f t="shared" ref="C1888" si="1229">C1887</f>
        <v>CH</v>
      </c>
      <c r="D1888" t="s">
        <v>1909</v>
      </c>
      <c r="E1888" t="str">
        <f t="shared" si="1225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5.3833493496039302E-6</v>
      </c>
      <c r="G1888" s="1" cm="1">
        <f t="array" ref="G1888">SUMPRODUCT(([1]OUT_FinalEnergyCons!$B$4:$B$10000="Var_cap")*1, (ISNUMBER(SEARCH("SCOM-SHngahp",[1]OUT_FinalEnergyCons!$A$4:$A$10000)))*1,[1]OUT_FinalEnergyCons!E$4:E$10000)</f>
        <v>6.2118605100920481E-4</v>
      </c>
      <c r="H1888" s="1" cm="1">
        <f t="array" ref="H1888">SUMPRODUCT(([1]OUT_FinalEnergyCons!$B$4:$B$10000="Var_cap")*1, (ISNUMBER(SEARCH("SCOM-SHngahp",[1]OUT_FinalEnergyCons!$A$4:$A$10000)))*1,[1]OUT_FinalEnergyCons!F$4:F$10000)</f>
        <v>0.16521864128618952</v>
      </c>
      <c r="I1888" s="1" cm="1">
        <f t="array" ref="I1888">SUMPRODUCT(([1]OUT_FinalEnergyCons!$B$4:$B$10000="Var_cap")*1, (ISNUMBER(SEARCH("SCOM-SHngahp",[1]OUT_FinalEnergyCons!$A$4:$A$10000)))*1,[1]OUT_FinalEnergyCons!G$4:G$10000)</f>
        <v>0.38880141603903073</v>
      </c>
      <c r="J1888" s="1" cm="1">
        <f t="array" ref="J1888">SUMPRODUCT(([1]OUT_FinalEnergyCons!$B$4:$B$10000="Var_cap")*1, (ISNUMBER(SEARCH("SCOM-SHngahp",[1]OUT_FinalEnergyCons!$A$4:$A$10000)))*1,[1]OUT_FinalEnergyCons!H$4:H$10000)</f>
        <v>0.59463567713943632</v>
      </c>
      <c r="K1888" s="1" cm="1">
        <f t="array" ref="K1888">SUMPRODUCT(([1]OUT_FinalEnergyCons!$B$4:$B$10000="Var_cap")*1, (ISNUMBER(SEARCH("SCOM-SHngahp",[1]OUT_FinalEnergyCons!$A$4:$A$10000)))*1,[1]OUT_FinalEnergyCons!I$4:I$10000)</f>
        <v>0.48094603057499513</v>
      </c>
    </row>
    <row r="1889" spans="2:11" x14ac:dyDescent="0.3">
      <c r="B1889" s="5" t="str">
        <f t="shared" si="1164"/>
        <v>SPS3</v>
      </c>
      <c r="C1889" s="5" t="str">
        <f t="shared" ref="C1889" si="1230">C1888</f>
        <v>CH</v>
      </c>
      <c r="D1889" t="s">
        <v>1910</v>
      </c>
      <c r="E1889" t="str">
        <f t="shared" si="1225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0.10534911607279128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0.10546759773353601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0.10511939834639465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0.10500178901524211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1.5908892635524917E-3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1.3029984094505235E-3</v>
      </c>
    </row>
    <row r="1890" spans="2:11" x14ac:dyDescent="0.3">
      <c r="B1890" s="5" t="str">
        <f t="shared" si="1164"/>
        <v>SPS3</v>
      </c>
      <c r="C1890" s="5" t="str">
        <f t="shared" ref="C1890" si="1231">C1889</f>
        <v>CH</v>
      </c>
      <c r="D1890" t="s">
        <v>1911</v>
      </c>
      <c r="E1890" t="str">
        <f t="shared" si="1225"/>
        <v>GWth/yr.</v>
      </c>
      <c r="F1890" s="1">
        <f>F1891</f>
        <v>0.47857116224871099</v>
      </c>
      <c r="G1890" s="1">
        <f t="shared" ref="G1890:K1890" si="1232">G1891</f>
        <v>0.47861340910260958</v>
      </c>
      <c r="H1890" s="1">
        <f t="shared" si="1232"/>
        <v>0.50221724428770975</v>
      </c>
      <c r="I1890" s="1">
        <f t="shared" si="1232"/>
        <v>0.50208334890667561</v>
      </c>
      <c r="J1890" s="1">
        <f t="shared" si="1232"/>
        <v>0.2516723890869299</v>
      </c>
      <c r="K1890" s="1">
        <f t="shared" si="1232"/>
        <v>0.12089510007627363</v>
      </c>
    </row>
    <row r="1891" spans="2:11" x14ac:dyDescent="0.3">
      <c r="B1891" s="5" t="str">
        <f t="shared" si="1164"/>
        <v>SPS3</v>
      </c>
      <c r="C1891" s="5" t="str">
        <f t="shared" ref="C1891" si="1233">C1890</f>
        <v>CH</v>
      </c>
      <c r="D1891" t="s">
        <v>1912</v>
      </c>
      <c r="E1891" t="str">
        <f t="shared" si="1225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0.47857116224871099</v>
      </c>
      <c r="G1891" s="1" cm="1">
        <f t="array" ref="G1891">SUMPRODUCT(([1]OUT_FinalEnergyCons!$B$4:$B$10000="Var_cap")*1, (ISNUMBER(SEARCH("SCOM-SHWODBR",[1]OUT_FinalEnergyCons!$A$4:$A$10000)))*1,[1]OUT_FinalEnergyCons!E$4:E$10000)</f>
        <v>0.47861340910260958</v>
      </c>
      <c r="H1891" s="1" cm="1">
        <f t="array" ref="H1891">SUMPRODUCT(([1]OUT_FinalEnergyCons!$B$4:$B$10000="Var_cap")*1, (ISNUMBER(SEARCH("SCOM-SHWODBR",[1]OUT_FinalEnergyCons!$A$4:$A$10000)))*1,[1]OUT_FinalEnergyCons!F$4:F$10000)</f>
        <v>0.50221724428770975</v>
      </c>
      <c r="I1891" s="1" cm="1">
        <f t="array" ref="I1891">SUMPRODUCT(([1]OUT_FinalEnergyCons!$B$4:$B$10000="Var_cap")*1, (ISNUMBER(SEARCH("SCOM-SHWODBR",[1]OUT_FinalEnergyCons!$A$4:$A$10000)))*1,[1]OUT_FinalEnergyCons!G$4:G$10000)</f>
        <v>0.50208334890667561</v>
      </c>
      <c r="J1891" s="1" cm="1">
        <f t="array" ref="J1891">SUMPRODUCT(([1]OUT_FinalEnergyCons!$B$4:$B$10000="Var_cap")*1, (ISNUMBER(SEARCH("SCOM-SHWODBR",[1]OUT_FinalEnergyCons!$A$4:$A$10000)))*1,[1]OUT_FinalEnergyCons!H$4:H$10000)</f>
        <v>0.2516723890869299</v>
      </c>
      <c r="K1891" s="1" cm="1">
        <f t="array" ref="K1891">SUMPRODUCT(([1]OUT_FinalEnergyCons!$B$4:$B$10000="Var_cap")*1, (ISNUMBER(SEARCH("SCOM-SHWODBR",[1]OUT_FinalEnergyCons!$A$4:$A$10000)))*1,[1]OUT_FinalEnergyCons!I$4:I$10000)</f>
        <v>0.12089510007627363</v>
      </c>
    </row>
    <row r="1892" spans="2:11" x14ac:dyDescent="0.3">
      <c r="B1892" s="5" t="str">
        <f t="shared" si="1164"/>
        <v>SPS3</v>
      </c>
      <c r="C1892" s="5" t="str">
        <f t="shared" ref="C1892" si="1234">C1891</f>
        <v>CH</v>
      </c>
      <c r="D1892" t="s">
        <v>1913</v>
      </c>
      <c r="E1892" t="str">
        <f t="shared" si="1225"/>
        <v>GWth/yr.</v>
      </c>
      <c r="F1892" s="1">
        <f>F1893</f>
        <v>0.15066701277424799</v>
      </c>
      <c r="G1892" s="1">
        <f t="shared" ref="G1892:K1892" si="1235">G1893</f>
        <v>0.17502512857592883</v>
      </c>
      <c r="H1892" s="1">
        <f t="shared" si="1235"/>
        <v>2.3849816063671703E-2</v>
      </c>
      <c r="I1892" s="1">
        <f t="shared" si="1235"/>
        <v>2.3534697720947906E-2</v>
      </c>
      <c r="J1892" s="1">
        <f t="shared" si="1235"/>
        <v>7.2275645316437825E-3</v>
      </c>
      <c r="K1892" s="1">
        <f t="shared" si="1235"/>
        <v>3.9386339998168938E-3</v>
      </c>
    </row>
    <row r="1893" spans="2:11" x14ac:dyDescent="0.3">
      <c r="B1893" s="5" t="str">
        <f t="shared" si="1164"/>
        <v>SPS3</v>
      </c>
      <c r="C1893" s="5" t="str">
        <f t="shared" ref="C1893" si="1236">C1892</f>
        <v>CH</v>
      </c>
      <c r="D1893" t="s">
        <v>1914</v>
      </c>
      <c r="E1893" t="str">
        <f t="shared" si="1225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0.15066701277424799</v>
      </c>
      <c r="G1893" s="1" cm="1">
        <f t="array" ref="G1893">SUMPRODUCT(([1]OUT_FinalEnergyCons!$B$4:$B$10000="Var_cap")*1,(ISNUMBER(SEARCH("SCOM-SHPLTBR",[1]OUT_FinalEnergyCons!$A$4:$A$10000)))*1,[1]OUT_FinalEnergyCons!E$4:E$10000)</f>
        <v>0.17502512857592883</v>
      </c>
      <c r="H1893" s="1" cm="1">
        <f t="array" ref="H1893">SUMPRODUCT(([1]OUT_FinalEnergyCons!$B$4:$B$10000="Var_cap")*1,(ISNUMBER(SEARCH("SCOM-SHPLTBR",[1]OUT_FinalEnergyCons!$A$4:$A$10000)))*1,[1]OUT_FinalEnergyCons!F$4:F$10000)</f>
        <v>2.3849816063671703E-2</v>
      </c>
      <c r="I1893" s="1" cm="1">
        <f t="array" ref="I1893">SUMPRODUCT(([1]OUT_FinalEnergyCons!$B$4:$B$10000="Var_cap")*1,(ISNUMBER(SEARCH("SCOM-SHPLTBR",[1]OUT_FinalEnergyCons!$A$4:$A$10000)))*1,[1]OUT_FinalEnergyCons!G$4:G$10000)</f>
        <v>2.3534697720947906E-2</v>
      </c>
      <c r="J1893" s="1" cm="1">
        <f t="array" ref="J1893">SUMPRODUCT(([1]OUT_FinalEnergyCons!$B$4:$B$10000="Var_cap")*1,(ISNUMBER(SEARCH("SCOM-SHPLTBR",[1]OUT_FinalEnergyCons!$A$4:$A$10000)))*1,[1]OUT_FinalEnergyCons!H$4:H$10000)</f>
        <v>7.2275645316437825E-3</v>
      </c>
      <c r="K1893" s="1" cm="1">
        <f t="array" ref="K1893">SUMPRODUCT(([1]OUT_FinalEnergyCons!$B$4:$B$10000="Var_cap")*1,(ISNUMBER(SEARCH("SCOM-SHPLTBR",[1]OUT_FinalEnergyCons!$A$4:$A$10000)))*1,[1]OUT_FinalEnergyCons!I$4:I$10000)</f>
        <v>3.9386339998168938E-3</v>
      </c>
    </row>
    <row r="1894" spans="2:11" x14ac:dyDescent="0.3">
      <c r="B1894" s="5" t="str">
        <f t="shared" si="1164"/>
        <v>SPS3</v>
      </c>
      <c r="C1894" s="5" t="str">
        <f t="shared" ref="C1894" si="1237">C1893</f>
        <v>CH</v>
      </c>
      <c r="D1894" t="s">
        <v>1915</v>
      </c>
      <c r="E1894" t="str">
        <f t="shared" si="1225"/>
        <v>GWth/yr.</v>
      </c>
      <c r="F1894" s="1">
        <f>F1895</f>
        <v>9.121583750979588E-2</v>
      </c>
      <c r="G1894" s="1">
        <f t="shared" ref="G1894:K1894" si="1238">G1895</f>
        <v>0.10056934293838239</v>
      </c>
      <c r="H1894" s="1">
        <f t="shared" si="1238"/>
        <v>0.10060227993475331</v>
      </c>
      <c r="I1894" s="1">
        <f t="shared" si="1238"/>
        <v>0.13726122373921285</v>
      </c>
      <c r="J1894" s="1">
        <f t="shared" si="1238"/>
        <v>0.23100016148000599</v>
      </c>
      <c r="K1894" s="1">
        <f t="shared" si="1238"/>
        <v>0.32769879670492058</v>
      </c>
    </row>
    <row r="1895" spans="2:11" x14ac:dyDescent="0.3">
      <c r="B1895" s="5" t="str">
        <f t="shared" si="1164"/>
        <v>SPS3</v>
      </c>
      <c r="C1895" s="5" t="str">
        <f t="shared" ref="C1895" si="1239">C1894</f>
        <v>CH</v>
      </c>
      <c r="D1895" t="s">
        <v>1916</v>
      </c>
      <c r="E1895" t="str">
        <f t="shared" si="1225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9.121583750979588E-2</v>
      </c>
      <c r="G1895" s="1" cm="1">
        <f t="array" ref="G1895">SUMPRODUCT(([1]OUT_FinalEnergyCons!$B$4:$B$10000="Var_cap")*1, (ISNUMBER(SEARCH("SCOM-SHSOLBR",[1]OUT_FinalEnergyCons!$A$4:$A$10000)))*1,[1]OUT_FinalEnergyCons!E$4:E$10000)</f>
        <v>0.10056934293838239</v>
      </c>
      <c r="H1895" s="1" cm="1">
        <f t="array" ref="H1895">SUMPRODUCT(([1]OUT_FinalEnergyCons!$B$4:$B$10000="Var_cap")*1, (ISNUMBER(SEARCH("SCOM-SHSOLBR",[1]OUT_FinalEnergyCons!$A$4:$A$10000)))*1,[1]OUT_FinalEnergyCons!F$4:F$10000)</f>
        <v>0.10060227993475331</v>
      </c>
      <c r="I1895" s="1" cm="1">
        <f t="array" ref="I1895">SUMPRODUCT(([1]OUT_FinalEnergyCons!$B$4:$B$10000="Var_cap")*1, (ISNUMBER(SEARCH("SCOM-SHSOLBR",[1]OUT_FinalEnergyCons!$A$4:$A$10000)))*1,[1]OUT_FinalEnergyCons!G$4:G$10000)</f>
        <v>0.13726122373921285</v>
      </c>
      <c r="J1895" s="1" cm="1">
        <f t="array" ref="J1895">SUMPRODUCT(([1]OUT_FinalEnergyCons!$B$4:$B$10000="Var_cap")*1, (ISNUMBER(SEARCH("SCOM-SHSOLBR",[1]OUT_FinalEnergyCons!$A$4:$A$10000)))*1,[1]OUT_FinalEnergyCons!H$4:H$10000)</f>
        <v>0.23100016148000599</v>
      </c>
      <c r="K1895" s="1" cm="1">
        <f t="array" ref="K1895">SUMPRODUCT(([1]OUT_FinalEnergyCons!$B$4:$B$10000="Var_cap")*1, (ISNUMBER(SEARCH("SCOM-SHSOLBR",[1]OUT_FinalEnergyCons!$A$4:$A$10000)))*1,[1]OUT_FinalEnergyCons!I$4:I$10000)</f>
        <v>0.32769879670492058</v>
      </c>
    </row>
    <row r="1896" spans="2:11" x14ac:dyDescent="0.3">
      <c r="B1896" s="5" t="str">
        <f t="shared" si="1164"/>
        <v>SPS3</v>
      </c>
      <c r="C1896" s="5" t="str">
        <f t="shared" ref="C1896" si="1240">C1895</f>
        <v>CH</v>
      </c>
      <c r="D1896" t="s">
        <v>1917</v>
      </c>
      <c r="E1896" t="str">
        <f t="shared" si="1225"/>
        <v>GWth/yr.</v>
      </c>
      <c r="F1896" s="1">
        <f>F1897</f>
        <v>0</v>
      </c>
      <c r="G1896" s="1">
        <f t="shared" ref="G1896:K1896" si="1241">G1897</f>
        <v>0</v>
      </c>
      <c r="H1896" s="1">
        <f t="shared" si="1241"/>
        <v>0</v>
      </c>
      <c r="I1896" s="1">
        <f t="shared" si="1241"/>
        <v>1.44214573420504E-5</v>
      </c>
      <c r="J1896" s="1">
        <f t="shared" si="1241"/>
        <v>1.1114085930857467</v>
      </c>
      <c r="K1896" s="1">
        <f t="shared" si="1241"/>
        <v>1.1923732284402166</v>
      </c>
    </row>
    <row r="1897" spans="2:11" x14ac:dyDescent="0.3">
      <c r="B1897" s="5" t="str">
        <f t="shared" si="1164"/>
        <v>SPS3</v>
      </c>
      <c r="C1897" s="5" t="str">
        <f t="shared" ref="C1897" si="1242">C1896</f>
        <v>CH</v>
      </c>
      <c r="D1897" t="s">
        <v>1918</v>
      </c>
      <c r="E1897" t="str">
        <f t="shared" si="1225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1.44214573420504E-5</v>
      </c>
      <c r="J1897" s="1" cm="1">
        <f t="array" ref="J1897">SUMPRODUCT(([1]OUT_FinalEnergyCons!$B$4:$B$10000="Var_cap")*1, (ISNUMBER(SEARCH("SCOM-SHH2BR",[1]OUT_FinalEnergyCons!$A$4:$A$10000)))*1,[1]OUT_FinalEnergyCons!H$4:H$10000)</f>
        <v>1.1114085930857467</v>
      </c>
      <c r="K1897" s="1" cm="1">
        <f t="array" ref="K1897">SUMPRODUCT(([1]OUT_FinalEnergyCons!$B$4:$B$10000="Var_cap")*1, (ISNUMBER(SEARCH("SCOM-SHH2BR",[1]OUT_FinalEnergyCons!$A$4:$A$10000)))*1,[1]OUT_FinalEnergyCons!I$4:I$10000)</f>
        <v>1.1923732284402166</v>
      </c>
    </row>
    <row r="1898" spans="2:11" x14ac:dyDescent="0.3">
      <c r="B1898" s="5" t="str">
        <f t="shared" si="1164"/>
        <v>SPS3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4.6652710595670372</v>
      </c>
      <c r="G1898" s="3">
        <f t="shared" ref="G1898:K1898" si="1243">SUM(G1899:G1948)</f>
        <v>4.8370136279038611</v>
      </c>
      <c r="H1898" s="3">
        <f t="shared" si="1243"/>
        <v>4.9112953235168275</v>
      </c>
      <c r="I1898" s="3">
        <f t="shared" si="1243"/>
        <v>5.2317271426975012</v>
      </c>
      <c r="J1898" s="3">
        <f t="shared" si="1243"/>
        <v>5.5823201433365748</v>
      </c>
      <c r="K1898" s="3">
        <f t="shared" si="1243"/>
        <v>5.8451510318747095</v>
      </c>
    </row>
    <row r="1899" spans="2:11" x14ac:dyDescent="0.3">
      <c r="B1899" s="5" t="str">
        <f t="shared" si="1164"/>
        <v>SPS3</v>
      </c>
      <c r="C1899" s="5" t="str">
        <f t="shared" ref="C1899:C1948" si="1244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2.8026336967805023E-2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1.5334357759966277E-7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3">
      <c r="B1900" s="5" t="str">
        <f t="shared" si="1164"/>
        <v>SPS3</v>
      </c>
      <c r="C1900" s="5" t="str">
        <f t="shared" si="1244"/>
        <v>CH</v>
      </c>
      <c r="D1900" t="s">
        <v>1923</v>
      </c>
      <c r="E1900" t="str">
        <f t="shared" ref="E1900:E1948" si="1245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1.7137462521404664E-3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4.0117619660705893E-2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1.4993158487821106E-2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1.0613608508493189E-5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0.29901524877741131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0.36887981890611043</v>
      </c>
    </row>
    <row r="1901" spans="2:11" x14ac:dyDescent="0.3">
      <c r="B1901" s="5" t="str">
        <f t="shared" si="1164"/>
        <v>SPS3</v>
      </c>
      <c r="C1901" s="5" t="str">
        <f t="shared" si="1244"/>
        <v>CH</v>
      </c>
      <c r="D1901" t="s">
        <v>1924</v>
      </c>
      <c r="E1901" t="str">
        <f t="shared" si="1245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7.4188196642652792E-3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4.1336477863386702E-3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4.2733870583827197E-3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4.0357414098340233E-5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1.0869461248022365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1.7925205024412787</v>
      </c>
    </row>
    <row r="1902" spans="2:11" x14ac:dyDescent="0.3">
      <c r="B1902" s="5" t="str">
        <f t="shared" si="1164"/>
        <v>SPS3</v>
      </c>
      <c r="C1902" s="5" t="str">
        <f t="shared" si="1244"/>
        <v>CH</v>
      </c>
      <c r="D1902" t="s">
        <v>1925</v>
      </c>
      <c r="E1902" t="str">
        <f t="shared" si="1245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4.3786674845849296E-3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9.4909181219579638E-3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0.29780988192552393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1.3261053093035351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0.52065918873917483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0.18626931446131395</v>
      </c>
    </row>
    <row r="1903" spans="2:11" x14ac:dyDescent="0.3">
      <c r="B1903" s="5" t="str">
        <f t="shared" si="1164"/>
        <v>SPS3</v>
      </c>
      <c r="C1903" s="5" t="str">
        <f t="shared" si="1244"/>
        <v>CH</v>
      </c>
      <c r="D1903" t="s">
        <v>1926</v>
      </c>
      <c r="E1903" t="str">
        <f t="shared" si="1245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1.5398079857658889E-2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7.9929359097771532E-2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7.60452223890868E-2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7.3731923216906192E-5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1.7273695914948901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2.3658962498920291</v>
      </c>
    </row>
    <row r="1904" spans="2:11" x14ac:dyDescent="0.3">
      <c r="B1904" s="5" t="str">
        <f t="shared" si="1164"/>
        <v>SPS3</v>
      </c>
      <c r="C1904" s="5" t="str">
        <f t="shared" si="1244"/>
        <v>CH</v>
      </c>
      <c r="D1904" t="s">
        <v>1927</v>
      </c>
      <c r="E1904" t="str">
        <f t="shared" si="1245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2.5968471726187025E-5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6.8974509112574103E-4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1.0276155961629059E-3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6.3818637287587276E-6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1.7044613458341929E-3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1.1434808408175815E-3</v>
      </c>
    </row>
    <row r="1905" spans="2:11" x14ac:dyDescent="0.3">
      <c r="B1905" s="5" t="str">
        <f t="shared" si="1164"/>
        <v>SPS3</v>
      </c>
      <c r="C1905" s="5" t="str">
        <f t="shared" si="1244"/>
        <v>CH</v>
      </c>
      <c r="D1905" t="s">
        <v>1928</v>
      </c>
      <c r="E1905" t="str">
        <f t="shared" si="1245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4.8817763383861273E-3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7.6057592302214878E-3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1.1876111434062189E-2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6.1275301917011749E-7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0.21618666074522289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6.4750967134411808E-2</v>
      </c>
    </row>
    <row r="1906" spans="2:11" x14ac:dyDescent="0.3">
      <c r="B1906" s="5" t="str">
        <f t="shared" si="1164"/>
        <v>SPS3</v>
      </c>
      <c r="C1906" s="5" t="str">
        <f t="shared" si="1244"/>
        <v>CH</v>
      </c>
      <c r="D1906" t="s">
        <v>1929</v>
      </c>
      <c r="E1906" t="str">
        <f t="shared" si="1245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4.0617675522718749E-3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9.5250098146911089E-3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9.2439115308248637E-3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2.743325795178525E-6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0.2977660836012393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0.58349158886328034</v>
      </c>
    </row>
    <row r="1907" spans="2:11" x14ac:dyDescent="0.3">
      <c r="B1907" s="5" t="str">
        <f t="shared" si="1164"/>
        <v>SPS3</v>
      </c>
      <c r="C1907" s="5" t="str">
        <f t="shared" si="1244"/>
        <v>CH</v>
      </c>
      <c r="D1907" t="s">
        <v>1930</v>
      </c>
      <c r="E1907" t="str">
        <f t="shared" si="1245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7.2590371435380828E-3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1.3837528862258008E-2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1.4044119165843931E-2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2.7129271217805895E-6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9.7618027934226539E-3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5.1634792112774915E-3</v>
      </c>
    </row>
    <row r="1908" spans="2:11" x14ac:dyDescent="0.3">
      <c r="B1908" s="5" t="str">
        <f t="shared" ref="B1908:B1971" si="1246">B1907</f>
        <v>SPS3</v>
      </c>
      <c r="C1908" s="5" t="str">
        <f t="shared" si="1244"/>
        <v>CH</v>
      </c>
      <c r="D1908" t="s">
        <v>1931</v>
      </c>
      <c r="E1908" t="str">
        <f t="shared" si="1245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1.06361807530825E-3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1.7245530578558087E-3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2.6743748873564368E-6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1.7003022769430075E-3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1.140368942897755E-3</v>
      </c>
    </row>
    <row r="1909" spans="2:11" x14ac:dyDescent="0.3">
      <c r="B1909" s="5" t="str">
        <f t="shared" si="1246"/>
        <v>SPS3</v>
      </c>
      <c r="C1909" s="5" t="str">
        <f t="shared" si="1244"/>
        <v>CH</v>
      </c>
      <c r="D1909" t="s">
        <v>1932</v>
      </c>
      <c r="E1909" t="str">
        <f t="shared" si="1245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2.3217781835496907E-4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9.7875245974432035E-2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7.4967097224432067E-7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0.15010843928421894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4.5391176556263638E-2</v>
      </c>
    </row>
    <row r="1910" spans="2:11" x14ac:dyDescent="0.3">
      <c r="B1910" s="5" t="str">
        <f t="shared" si="1246"/>
        <v>SPS3</v>
      </c>
      <c r="C1910" s="5" t="str">
        <f t="shared" si="1244"/>
        <v>CH</v>
      </c>
      <c r="D1910" t="s">
        <v>1933</v>
      </c>
      <c r="E1910" t="str">
        <f t="shared" si="1245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1.6997853457525073E-4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5.3137977070718591E-4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2.430924046200331E-6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0.20785610907347316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0.40806187006365846</v>
      </c>
    </row>
    <row r="1911" spans="2:11" x14ac:dyDescent="0.3">
      <c r="B1911" s="5" t="str">
        <f t="shared" si="1246"/>
        <v>SPS3</v>
      </c>
      <c r="C1911" s="5" t="str">
        <f t="shared" si="1244"/>
        <v>CH</v>
      </c>
      <c r="D1911" t="s">
        <v>1934</v>
      </c>
      <c r="E1911" t="str">
        <f t="shared" si="1245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2.5889327754509319E-4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3.9339255611984168E-2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3.8888221591382464E-2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1.9679122370899749E-6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7.7402153195056788E-3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4.6322364926348492E-3</v>
      </c>
    </row>
    <row r="1912" spans="2:11" x14ac:dyDescent="0.3">
      <c r="B1912" s="5" t="str">
        <f t="shared" si="1246"/>
        <v>SPS3</v>
      </c>
      <c r="C1912" s="5" t="str">
        <f t="shared" si="1244"/>
        <v>CH</v>
      </c>
      <c r="D1912" t="s">
        <v>1935</v>
      </c>
      <c r="E1912" t="str">
        <f t="shared" si="1245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2.2283006685296099E-5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7.6145452591831698E-5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2.3987460383813509E-5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4.4577261253866442E-4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3.245487273921596E-4</v>
      </c>
    </row>
    <row r="1913" spans="2:11" x14ac:dyDescent="0.3">
      <c r="B1913" s="5" t="str">
        <f t="shared" si="1246"/>
        <v>SPS3</v>
      </c>
      <c r="C1913" s="5" t="str">
        <f t="shared" si="1244"/>
        <v>CH</v>
      </c>
      <c r="D1913" t="s">
        <v>1936</v>
      </c>
      <c r="E1913" t="str">
        <f t="shared" si="1245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6.3067269310866765E-6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2.0686517052473734E-5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4.5647082777700722E-5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-5.6680047660150843E-7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1.6217781521723427E-4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2.1975584790609351E-4</v>
      </c>
    </row>
    <row r="1914" spans="2:11" x14ac:dyDescent="0.3">
      <c r="B1914" s="5" t="str">
        <f t="shared" si="1246"/>
        <v>SPS3</v>
      </c>
      <c r="C1914" s="5" t="str">
        <f t="shared" si="1244"/>
        <v>CH</v>
      </c>
      <c r="D1914" t="s">
        <v>1937</v>
      </c>
      <c r="E1914" t="str">
        <f t="shared" si="1245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5.3583385819911764E-5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8.9237142771621334E-5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1.016440232749359E-4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-3.0086816661470948E-7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1.2818275001701555E-4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2.3511731044248977E-4</v>
      </c>
    </row>
    <row r="1915" spans="2:11" x14ac:dyDescent="0.3">
      <c r="B1915" s="5" t="str">
        <f t="shared" si="1246"/>
        <v>SPS3</v>
      </c>
      <c r="C1915" s="5" t="str">
        <f t="shared" si="1244"/>
        <v>CH</v>
      </c>
      <c r="D1915" t="s">
        <v>1938</v>
      </c>
      <c r="E1915" t="str">
        <f t="shared" si="1245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1.88343026072085E-5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4.248625646387365E-5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-4.2405331187197429E-8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1.9826771914017828E-4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1.5394890240323256E-2</v>
      </c>
    </row>
    <row r="1916" spans="2:11" x14ac:dyDescent="0.3">
      <c r="B1916" s="5" t="str">
        <f t="shared" si="1246"/>
        <v>SPS3</v>
      </c>
      <c r="C1916" s="5" t="str">
        <f t="shared" si="1244"/>
        <v>CH</v>
      </c>
      <c r="D1916" t="s">
        <v>1939</v>
      </c>
      <c r="E1916" t="str">
        <f t="shared" si="1245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-1.1010918209847231E-7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1.6829525627017061E-6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3">
      <c r="B1917" s="5" t="str">
        <f t="shared" si="1246"/>
        <v>SPS3</v>
      </c>
      <c r="C1917" s="5" t="str">
        <f t="shared" si="1244"/>
        <v>CH</v>
      </c>
      <c r="D1917" t="s">
        <v>1940</v>
      </c>
      <c r="E1917" t="str">
        <f t="shared" si="1245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5.625669785506552E-3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3.019916227789328E-4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6.2140545500735767E-6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9.2558058728241549E-2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2.7959947319263528E-2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1.3252220992930621E-4</v>
      </c>
    </row>
    <row r="1918" spans="2:11" x14ac:dyDescent="0.3">
      <c r="B1918" s="5" t="str">
        <f t="shared" si="1246"/>
        <v>SPS3</v>
      </c>
      <c r="C1918" s="5" t="str">
        <f t="shared" si="1244"/>
        <v>CH</v>
      </c>
      <c r="D1918" t="s">
        <v>1941</v>
      </c>
      <c r="E1918" t="str">
        <f t="shared" si="1245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8.7328773007807493E-3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2.9954263273514046E-4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5.7738452640803598E-5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0.45103983081122273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0.18231354689198059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1.5521069447261486E-4</v>
      </c>
    </row>
    <row r="1919" spans="2:11" x14ac:dyDescent="0.3">
      <c r="B1919" s="5" t="str">
        <f t="shared" si="1246"/>
        <v>SPS3</v>
      </c>
      <c r="C1919" s="5" t="str">
        <f t="shared" si="1244"/>
        <v>CH</v>
      </c>
      <c r="D1919" t="s">
        <v>1942</v>
      </c>
      <c r="E1919" t="str">
        <f t="shared" si="1245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1.3251287170118151E-2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0.20300373004658928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0.42219763039800573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0.71654140167191449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0.16488186942586255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1.0116470045684527E-4</v>
      </c>
    </row>
    <row r="1920" spans="2:11" x14ac:dyDescent="0.3">
      <c r="B1920" s="5" t="str">
        <f t="shared" si="1246"/>
        <v>SPS3</v>
      </c>
      <c r="C1920" s="5" t="str">
        <f t="shared" si="1244"/>
        <v>CH</v>
      </c>
      <c r="D1920" t="s">
        <v>1943</v>
      </c>
      <c r="E1920" t="str">
        <f t="shared" si="1245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8.1543024394657992E-3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4.6591756821773222E-3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3.0956174505109811E-5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0.59681604028569146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0.24142475040303638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1.2796425639605055E-4</v>
      </c>
    </row>
    <row r="1921" spans="2:11" x14ac:dyDescent="0.3">
      <c r="B1921" s="5" t="str">
        <f t="shared" si="1246"/>
        <v>SPS3</v>
      </c>
      <c r="C1921" s="5" t="str">
        <f t="shared" si="1244"/>
        <v>CH</v>
      </c>
      <c r="D1921" t="s">
        <v>1944</v>
      </c>
      <c r="E1921" t="str">
        <f t="shared" si="1245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1.6628844727304792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0.65025484447083393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3">
      <c r="B1922" s="5" t="str">
        <f t="shared" si="1246"/>
        <v>SPS3</v>
      </c>
      <c r="C1922" s="5" t="str">
        <f t="shared" si="1244"/>
        <v>CH</v>
      </c>
      <c r="D1922" t="s">
        <v>1945</v>
      </c>
      <c r="E1922" t="str">
        <f t="shared" si="1245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3.6529413268684689E-2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3.9786692046302377E-2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0.1477861974733094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6.7260115891057959E-3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2.3165848125194025E-4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6.7041708411618047E-5</v>
      </c>
    </row>
    <row r="1923" spans="2:11" x14ac:dyDescent="0.3">
      <c r="B1923" s="5" t="str">
        <f t="shared" si="1246"/>
        <v>SPS3</v>
      </c>
      <c r="C1923" s="5" t="str">
        <f t="shared" si="1244"/>
        <v>CH</v>
      </c>
      <c r="D1923" t="s">
        <v>1946</v>
      </c>
      <c r="E1923" t="str">
        <f t="shared" si="1245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0.21742237949771487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0.2434100980589271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0.35196608636273469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3.6207296530111177E-2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2.84053466236351E-4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8.2813305939629975E-5</v>
      </c>
    </row>
    <row r="1924" spans="2:11" x14ac:dyDescent="0.3">
      <c r="B1924" s="5" t="str">
        <f t="shared" si="1246"/>
        <v>SPS3</v>
      </c>
      <c r="C1924" s="5" t="str">
        <f t="shared" si="1244"/>
        <v>CH</v>
      </c>
      <c r="D1924" t="s">
        <v>1947</v>
      </c>
      <c r="E1924" t="str">
        <f t="shared" si="1245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0.18018929435285924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0.20184668192821226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0.19879728297409574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2.6788409409506109E-5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2.0204019165118446E-4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5.8867033144645995E-5</v>
      </c>
    </row>
    <row r="1925" spans="2:11" x14ac:dyDescent="0.3">
      <c r="B1925" s="5" t="str">
        <f t="shared" si="1246"/>
        <v>SPS3</v>
      </c>
      <c r="C1925" s="5" t="str">
        <f t="shared" si="1244"/>
        <v>CH</v>
      </c>
      <c r="D1925" t="s">
        <v>1948</v>
      </c>
      <c r="E1925" t="str">
        <f t="shared" si="1245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0.15706987599881739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0.17932872947517289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0.25569549305190237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9.1146860969615329E-6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8.3889698419171987E-4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2.4548923733719275E-4</v>
      </c>
    </row>
    <row r="1926" spans="2:11" x14ac:dyDescent="0.3">
      <c r="B1926" s="5" t="str">
        <f t="shared" si="1246"/>
        <v>SPS3</v>
      </c>
      <c r="C1926" s="5" t="str">
        <f t="shared" si="1244"/>
        <v>CH</v>
      </c>
      <c r="D1926" t="s">
        <v>1949</v>
      </c>
      <c r="E1926" t="str">
        <f t="shared" si="1245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1.3110335266102901E-6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2.3481143448426E-6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2.9419657355222299E-5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1.84032879510207E-5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3.2665877358583102E-6</v>
      </c>
    </row>
    <row r="1927" spans="2:11" x14ac:dyDescent="0.3">
      <c r="B1927" s="5" t="str">
        <f t="shared" si="1246"/>
        <v>SPS3</v>
      </c>
      <c r="C1927" s="5" t="str">
        <f t="shared" si="1244"/>
        <v>CH</v>
      </c>
      <c r="D1927" t="s">
        <v>1950</v>
      </c>
      <c r="E1927" t="str">
        <f t="shared" si="1245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8.5431569516796101E-7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1.64410150349728E-6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6.6707727608132203E-6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9.5989861789441897E-6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3.3514455529127101E-6</v>
      </c>
    </row>
    <row r="1928" spans="2:11" x14ac:dyDescent="0.3">
      <c r="B1928" s="5" t="str">
        <f t="shared" si="1246"/>
        <v>SPS3</v>
      </c>
      <c r="C1928" s="5" t="str">
        <f t="shared" si="1244"/>
        <v>CH</v>
      </c>
      <c r="D1928" t="s">
        <v>1951</v>
      </c>
      <c r="E1928" t="str">
        <f t="shared" si="1245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6.7513286429372E-7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1.32734244422247E-6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5.6857758646367701E-6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8.9508508650940995E-6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3.2213117709254099E-6</v>
      </c>
    </row>
    <row r="1929" spans="2:11" x14ac:dyDescent="0.3">
      <c r="B1929" s="5" t="str">
        <f t="shared" si="1246"/>
        <v>SPS3</v>
      </c>
      <c r="C1929" s="5" t="str">
        <f t="shared" si="1244"/>
        <v>CH</v>
      </c>
      <c r="D1929" t="s">
        <v>1952</v>
      </c>
      <c r="E1929" t="str">
        <f t="shared" si="1245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9.2607331683060505E-7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1.65477611903154E-6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8.5443625275659197E-6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1.036473990836E-5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3.3707157046150302E-6</v>
      </c>
    </row>
    <row r="1930" spans="2:11" x14ac:dyDescent="0.3">
      <c r="B1930" s="5" t="str">
        <f t="shared" si="1246"/>
        <v>SPS3</v>
      </c>
      <c r="C1930" s="5" t="str">
        <f t="shared" si="1244"/>
        <v>CH</v>
      </c>
      <c r="D1930" t="s">
        <v>1953</v>
      </c>
      <c r="E1930" t="str">
        <f t="shared" si="1245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3">
      <c r="B1931" s="5" t="str">
        <f t="shared" si="1246"/>
        <v>SPS3</v>
      </c>
      <c r="C1931" s="5" t="str">
        <f t="shared" si="1244"/>
        <v>CH</v>
      </c>
      <c r="D1931" t="s">
        <v>1954</v>
      </c>
      <c r="E1931" t="str">
        <f t="shared" si="1245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1.4614021389679961E-5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5.5938775062189879E-6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0.14123798580021268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2.8811074619240536E-2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1.217889792814483E-4</v>
      </c>
    </row>
    <row r="1932" spans="2:11" x14ac:dyDescent="0.3">
      <c r="B1932" s="5" t="str">
        <f t="shared" si="1246"/>
        <v>SPS3</v>
      </c>
      <c r="C1932" s="5" t="str">
        <f t="shared" si="1244"/>
        <v>CH</v>
      </c>
      <c r="D1932" t="s">
        <v>1955</v>
      </c>
      <c r="E1932" t="str">
        <f t="shared" si="1245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2.5973239324882439E-4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0.17263609200582289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0.16330694152886985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0.88019495691348459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0.30278801822223017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1.3365764854656815E-4</v>
      </c>
    </row>
    <row r="1933" spans="2:11" x14ac:dyDescent="0.3">
      <c r="B1933" s="5" t="str">
        <f t="shared" si="1246"/>
        <v>SPS3</v>
      </c>
      <c r="C1933" s="5" t="str">
        <f t="shared" si="1244"/>
        <v>CH</v>
      </c>
      <c r="D1933" t="s">
        <v>1956</v>
      </c>
      <c r="E1933" t="str">
        <f t="shared" si="1245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1.8466126666554111E-3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5.5549628118598059E-2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5.2406777119530429E-2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0.28628999060196259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9.8848326558651028E-2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8.7870415453103056E-5</v>
      </c>
    </row>
    <row r="1934" spans="2:11" x14ac:dyDescent="0.3">
      <c r="B1934" s="5" t="str">
        <f t="shared" si="1246"/>
        <v>SPS3</v>
      </c>
      <c r="C1934" s="5" t="str">
        <f t="shared" si="1244"/>
        <v>CH</v>
      </c>
      <c r="D1934" t="s">
        <v>1957</v>
      </c>
      <c r="E1934" t="str">
        <f t="shared" si="1245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3.7722610885400553E-3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7.2491256098702987E-3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6.7941639496719008E-3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1.8142828923966327E-2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5.2627330250440791E-3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1.113715931258691E-4</v>
      </c>
    </row>
    <row r="1935" spans="2:11" x14ac:dyDescent="0.3">
      <c r="B1935" s="5" t="str">
        <f t="shared" si="1246"/>
        <v>SPS3</v>
      </c>
      <c r="C1935" s="5" t="str">
        <f t="shared" si="1244"/>
        <v>CH</v>
      </c>
      <c r="D1935" t="s">
        <v>1958</v>
      </c>
      <c r="E1935" t="str">
        <f t="shared" si="1245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0.70637181225350221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2.2043340942501377E-4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3">
      <c r="B1936" s="5" t="str">
        <f t="shared" si="1246"/>
        <v>SPS3</v>
      </c>
      <c r="C1936" s="5" t="str">
        <f t="shared" si="1244"/>
        <v>CH</v>
      </c>
      <c r="D1936" t="s">
        <v>1959</v>
      </c>
      <c r="E1936" t="str">
        <f t="shared" si="1245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4.443408774176986E-4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5.2105894386632399E-4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1.1617039664695091E-3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1.1568564537959593E-4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1.0997103776767749E-4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3.1596493313091732E-5</v>
      </c>
    </row>
    <row r="1937" spans="2:11" x14ac:dyDescent="0.3">
      <c r="B1937" s="5" t="str">
        <f t="shared" si="1246"/>
        <v>SPS3</v>
      </c>
      <c r="C1937" s="5" t="str">
        <f t="shared" si="1244"/>
        <v>CH</v>
      </c>
      <c r="D1937" t="s">
        <v>1960</v>
      </c>
      <c r="E1937" t="str">
        <f t="shared" si="1245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6.4564373110881562E-2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6.8555355150206998E-2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6.8194472348010876E-2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2.8535014716400429E-2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8.9946323223471895E-5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2.6015102424344265E-5</v>
      </c>
    </row>
    <row r="1938" spans="2:11" x14ac:dyDescent="0.3">
      <c r="B1938" s="5" t="str">
        <f t="shared" si="1246"/>
        <v>SPS3</v>
      </c>
      <c r="C1938" s="5" t="str">
        <f t="shared" si="1244"/>
        <v>CH</v>
      </c>
      <c r="D1938" t="s">
        <v>1961</v>
      </c>
      <c r="E1938" t="str">
        <f t="shared" si="1245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0.18321420848032502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0.19494784941273413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0.19297116232404082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1.0149986463647842E-5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7.5821371244461216E-5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2.2005386982821571E-5</v>
      </c>
    </row>
    <row r="1939" spans="2:11" x14ac:dyDescent="0.3">
      <c r="B1939" s="5" t="str">
        <f t="shared" si="1246"/>
        <v>SPS3</v>
      </c>
      <c r="C1939" s="5" t="str">
        <f t="shared" si="1244"/>
        <v>CH</v>
      </c>
      <c r="D1939" t="s">
        <v>1962</v>
      </c>
      <c r="E1939" t="str">
        <f t="shared" si="1245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7.1258673336617062E-2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7.9373279551385109E-2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7.8316127761404106E-2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4.5348221176452763E-6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7.7277322434772552E-5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2.2489613915672795E-5</v>
      </c>
    </row>
    <row r="1940" spans="2:11" x14ac:dyDescent="0.3">
      <c r="B1940" s="5" t="str">
        <f t="shared" si="1246"/>
        <v>SPS3</v>
      </c>
      <c r="C1940" s="5" t="str">
        <f t="shared" si="1244"/>
        <v>CH</v>
      </c>
      <c r="D1940" t="s">
        <v>1963</v>
      </c>
      <c r="E1940" t="str">
        <f t="shared" si="1245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1.30693107863166E-6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2.3115149488684898E-6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1.9925073551918299E-5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1.43722442010405E-5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3.1800541424854398E-6</v>
      </c>
    </row>
    <row r="1941" spans="2:11" x14ac:dyDescent="0.3">
      <c r="B1941" s="5" t="str">
        <f t="shared" si="1246"/>
        <v>SPS3</v>
      </c>
      <c r="C1941" s="5" t="str">
        <f t="shared" si="1244"/>
        <v>CH</v>
      </c>
      <c r="D1941" t="s">
        <v>1964</v>
      </c>
      <c r="E1941" t="str">
        <f t="shared" si="1245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8.3060019977891299E-7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1.60644187856153E-6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5.8212971149293603E-6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8.9179516747988798E-6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3.1987981300176199E-6</v>
      </c>
    </row>
    <row r="1942" spans="2:11" x14ac:dyDescent="0.3">
      <c r="B1942" s="5" t="str">
        <f t="shared" si="1246"/>
        <v>SPS3</v>
      </c>
      <c r="C1942" s="5" t="str">
        <f t="shared" si="1244"/>
        <v>CH</v>
      </c>
      <c r="D1942" t="s">
        <v>1965</v>
      </c>
      <c r="E1942" t="str">
        <f t="shared" si="1245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6.8812872738521602E-7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1.3265047215158001E-6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5.03156704762562E-6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8.27044578864147E-6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3.0410127417835302E-6</v>
      </c>
    </row>
    <row r="1943" spans="2:11" x14ac:dyDescent="0.3">
      <c r="B1943" s="5" t="str">
        <f t="shared" si="1246"/>
        <v>SPS3</v>
      </c>
      <c r="C1943" s="5" t="str">
        <f t="shared" si="1244"/>
        <v>CH</v>
      </c>
      <c r="D1943" t="s">
        <v>1966</v>
      </c>
      <c r="E1943" t="str">
        <f t="shared" si="1245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8.8236526778610398E-7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1.53135305448283E-6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5.10383109605599E-6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8.6034302574491693E-6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3.1793266605640099E-6</v>
      </c>
    </row>
    <row r="1944" spans="2:11" x14ac:dyDescent="0.3">
      <c r="B1944" s="5" t="str">
        <f t="shared" si="1246"/>
        <v>SPS3</v>
      </c>
      <c r="C1944" s="5" t="str">
        <f t="shared" si="1244"/>
        <v>CH</v>
      </c>
      <c r="D1944" t="s">
        <v>1967</v>
      </c>
      <c r="E1944" t="str">
        <f t="shared" si="1245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3">
      <c r="B1945" s="5" t="str">
        <f t="shared" si="1246"/>
        <v>SPS3</v>
      </c>
      <c r="C1945" s="5" t="str">
        <f t="shared" si="1244"/>
        <v>CH</v>
      </c>
      <c r="D1945" t="s">
        <v>1968</v>
      </c>
      <c r="E1945" t="str">
        <f t="shared" si="1245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2.56175165883789E-4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2.3192197784349051E-4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2.7960967365511872E-4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2.09758773611372E-5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5.669745364317856E-5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1.6117419689928784E-5</v>
      </c>
    </row>
    <row r="1946" spans="2:11" x14ac:dyDescent="0.3">
      <c r="B1946" s="5" t="str">
        <f t="shared" si="1246"/>
        <v>SPS3</v>
      </c>
      <c r="C1946" s="5" t="str">
        <f t="shared" si="1244"/>
        <v>CH</v>
      </c>
      <c r="D1946" t="s">
        <v>1969</v>
      </c>
      <c r="E1946" t="str">
        <f t="shared" si="1245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2.690019301739348E-3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2.7576525886500794E-3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2.7706231839232441E-3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3.7232822861713987E-5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6.4495276521019974E-5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1.8646184972704994E-5</v>
      </c>
    </row>
    <row r="1947" spans="2:11" x14ac:dyDescent="0.3">
      <c r="B1947" s="5" t="str">
        <f t="shared" si="1246"/>
        <v>SPS3</v>
      </c>
      <c r="C1947" s="5" t="str">
        <f t="shared" si="1244"/>
        <v>CH</v>
      </c>
      <c r="D1947" t="s">
        <v>1970</v>
      </c>
      <c r="E1947" t="str">
        <f t="shared" si="1245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1.5102129687590541E-4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1.6631259970011517E-4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1.8465398216847446E-4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1.9123340354700085E-5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7.2349828366522344E-5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2.0962595715621604E-5</v>
      </c>
    </row>
    <row r="1948" spans="2:11" x14ac:dyDescent="0.3">
      <c r="B1948" s="5" t="str">
        <f t="shared" si="1246"/>
        <v>SPS3</v>
      </c>
      <c r="C1948" s="5" t="str">
        <f t="shared" si="1244"/>
        <v>CH</v>
      </c>
      <c r="D1948" t="s">
        <v>1971</v>
      </c>
      <c r="E1948" t="str">
        <f t="shared" si="1245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2.5495631758091267E-3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2.4709020710199799E-3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3.57440633848793E-4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9.0558047423944501E-5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2.6262110722735536E-5</v>
      </c>
    </row>
    <row r="1949" spans="2:11" x14ac:dyDescent="0.3">
      <c r="B1949" s="5" t="str">
        <f t="shared" si="1246"/>
        <v>SPS3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5.7325364800780507</v>
      </c>
      <c r="G1949" s="3">
        <f t="shared" ref="G1949:K1949" si="1247">SUM(G1950:G1972)</f>
        <v>5.7427028914425149</v>
      </c>
      <c r="H1949" s="3">
        <f t="shared" si="1247"/>
        <v>5.852657801092823</v>
      </c>
      <c r="I1949" s="3">
        <f t="shared" si="1247"/>
        <v>6.4869975497044381</v>
      </c>
      <c r="J1949" s="3">
        <f t="shared" si="1247"/>
        <v>6.9794204779490556</v>
      </c>
      <c r="K1949" s="3">
        <f t="shared" si="1247"/>
        <v>7.4759851070453456</v>
      </c>
    </row>
    <row r="1950" spans="2:11" x14ac:dyDescent="0.3">
      <c r="B1950" s="5" t="str">
        <f t="shared" si="1246"/>
        <v>SPS3</v>
      </c>
      <c r="C1950" s="5" t="str">
        <f t="shared" ref="C1950:C1972" si="1248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1.8879378734144088E-2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3">
      <c r="B1951" s="5" t="str">
        <f t="shared" si="1246"/>
        <v>SPS3</v>
      </c>
      <c r="C1951" s="5" t="str">
        <f t="shared" si="1248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5.186659348659995E-2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0.10940525726620859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2.1787133230716993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2.5122368141147939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2.2172361771097489</v>
      </c>
    </row>
    <row r="1952" spans="2:11" x14ac:dyDescent="0.3">
      <c r="B1952" s="5" t="str">
        <f t="shared" si="1246"/>
        <v>SPS3</v>
      </c>
      <c r="C1952" s="5" t="str">
        <f t="shared" si="1248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7.9226441631504909E-3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2.460948525701535E-2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5.0222411476124586E-2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0.77221738541979412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0.79406074767664703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0.85482788592033243</v>
      </c>
    </row>
    <row r="1953" spans="2:11" x14ac:dyDescent="0.3">
      <c r="B1953" s="5" t="str">
        <f t="shared" si="1246"/>
        <v>SPS3</v>
      </c>
      <c r="C1953" s="5" t="str">
        <f t="shared" si="1248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3.416518616611007E-2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5.8068042636602306E-2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7.8658566082553769E-2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3.4989172698789721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3.1731820528871859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3.7155523740122711</v>
      </c>
    </row>
    <row r="1954" spans="2:11" x14ac:dyDescent="0.3">
      <c r="B1954" s="5" t="str">
        <f t="shared" si="1246"/>
        <v>SPS3</v>
      </c>
      <c r="C1954" s="5" t="str">
        <f t="shared" si="1248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4.2334739803094297E-4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3.9326130552862883E-3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7.8296120783035179E-3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3.5388261779076127E-2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5.9753268065948304E-3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2.7781087282415982E-3</v>
      </c>
    </row>
    <row r="1955" spans="2:11" x14ac:dyDescent="0.3">
      <c r="B1955" s="5" t="str">
        <f t="shared" si="1246"/>
        <v>SPS3</v>
      </c>
      <c r="C1955" s="5" t="str">
        <f t="shared" si="1248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1.1260940703399201E-3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1.3563374101581739E-3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9.0387960425228429E-3</v>
      </c>
    </row>
    <row r="1956" spans="2:11" x14ac:dyDescent="0.3">
      <c r="B1956" s="5" t="str">
        <f t="shared" si="1246"/>
        <v>SPS3</v>
      </c>
      <c r="C1956" s="5" t="str">
        <f t="shared" si="1248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6.4609920613047496E-5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5.5082609681302702E-4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5.9239835660678522E-3</v>
      </c>
    </row>
    <row r="1957" spans="2:11" x14ac:dyDescent="0.3">
      <c r="B1957" s="5" t="str">
        <f t="shared" si="1246"/>
        <v>SPS3</v>
      </c>
      <c r="C1957" s="5" t="str">
        <f t="shared" si="1248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0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3.3992449821124008E-4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6.77755299963084E-3</v>
      </c>
    </row>
    <row r="1958" spans="2:11" x14ac:dyDescent="0.3">
      <c r="B1958" s="5" t="str">
        <f t="shared" si="1246"/>
        <v>SPS3</v>
      </c>
      <c r="C1958" s="5" t="str">
        <f t="shared" si="1248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7.2257052685698777E-5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1.8558847694312902E-4</v>
      </c>
    </row>
    <row r="1959" spans="2:11" x14ac:dyDescent="0.3">
      <c r="B1959" s="5" t="str">
        <f t="shared" si="1246"/>
        <v>SPS3</v>
      </c>
      <c r="C1959" s="5" t="str">
        <f t="shared" si="1248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7.9771806118052499E-2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9.2006731321798249E-2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9.1513780742799936E-5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8.1346370172234034E-2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0.56583957871690649</v>
      </c>
    </row>
    <row r="1960" spans="2:11" x14ac:dyDescent="0.3">
      <c r="B1960" s="5" t="str">
        <f t="shared" si="1246"/>
        <v>SPS3</v>
      </c>
      <c r="C1960" s="5" t="str">
        <f t="shared" si="1248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5.1812844237647902E-3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9.6400980749553507E-3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5.2704465846070651E-5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2.5389500926927083E-2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1.4261875169334349E-2</v>
      </c>
    </row>
    <row r="1961" spans="2:11" x14ac:dyDescent="0.3">
      <c r="B1961" s="5" t="str">
        <f t="shared" si="1246"/>
        <v>SPS3</v>
      </c>
      <c r="C1961" s="5" t="str">
        <f t="shared" si="1248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5.7763214802592595E-3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9.7108223976287607E-3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-1.2114013773239615E-5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0.38374021675442122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8.246199949912536E-2</v>
      </c>
    </row>
    <row r="1962" spans="2:11" x14ac:dyDescent="0.3">
      <c r="B1962" s="5" t="str">
        <f t="shared" si="1246"/>
        <v>SPS3</v>
      </c>
      <c r="C1962" s="5" t="str">
        <f t="shared" si="1248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3.3898466581636202E-4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6.3832479011783098E-4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-1.1679815745920004E-5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5.9080205226019582E-4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2.3037373019403498E-4</v>
      </c>
    </row>
    <row r="1963" spans="2:11" x14ac:dyDescent="0.3">
      <c r="B1963" s="5" t="str">
        <f t="shared" si="1246"/>
        <v>SPS3</v>
      </c>
      <c r="C1963" s="5" t="str">
        <f t="shared" si="1248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2.2803233438013404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3">
      <c r="B1964" s="5" t="str">
        <f t="shared" si="1246"/>
        <v>SPS3</v>
      </c>
      <c r="C1964" s="5" t="str">
        <f t="shared" si="1248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0.52620812390050442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0.9722174790442456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-2.0825995947627678E-5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3.1417770573534859E-4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3.3121732860945E-4</v>
      </c>
    </row>
    <row r="1965" spans="2:11" x14ac:dyDescent="0.3">
      <c r="B1965" s="5" t="str">
        <f t="shared" si="1246"/>
        <v>SPS3</v>
      </c>
      <c r="C1965" s="5" t="str">
        <f t="shared" si="1248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0.18392134772385882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0.22534253653020708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0.36662366219153902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-2.5776500009000274E-5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7.0517240217178007E-5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1.3707884436668001E-4</v>
      </c>
    </row>
    <row r="1966" spans="2:11" x14ac:dyDescent="0.3">
      <c r="B1966" s="5" t="str">
        <f t="shared" si="1246"/>
        <v>SPS3</v>
      </c>
      <c r="C1966" s="5" t="str">
        <f t="shared" si="1248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0.80643866247287499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0.99530389121964047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1.7772027977813176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-2.5871871599074392E-5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-8.6920559737005797E-5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2.4525043115222838E-5</v>
      </c>
    </row>
    <row r="1967" spans="2:11" x14ac:dyDescent="0.3">
      <c r="B1967" s="5" t="str">
        <f t="shared" si="1246"/>
        <v>SPS3</v>
      </c>
      <c r="C1967" s="5" t="str">
        <f t="shared" si="1248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9.7292374147127901E-3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3.2040469930458872E-3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3.1780339716206115E-3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-2.0945308349780893E-5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-7.2085641590434601E-5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-3.28011724771396E-6</v>
      </c>
    </row>
    <row r="1968" spans="2:11" x14ac:dyDescent="0.3">
      <c r="B1968" s="5" t="str">
        <f t="shared" si="1246"/>
        <v>SPS3</v>
      </c>
      <c r="C1968" s="5" t="str">
        <f t="shared" si="1248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4.1733541394893575E-2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3">
      <c r="B1969" s="5" t="str">
        <f t="shared" si="1246"/>
        <v>SPS3</v>
      </c>
      <c r="C1969" s="5" t="str">
        <f t="shared" si="1248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6.3741178254185394E-3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1.2708774733318558E-2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2.6763297277849986E-4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2.8367829474803689E-4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2.6593444818558197E-4</v>
      </c>
    </row>
    <row r="1970" spans="2:11" x14ac:dyDescent="0.3">
      <c r="B1970" s="5" t="str">
        <f t="shared" si="1246"/>
        <v>SPS3</v>
      </c>
      <c r="C1970" s="5" t="str">
        <f t="shared" si="1248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3.0240320322913699E-3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1.0120219227754801E-2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2.2758611544154036E-4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1.2201448077237109E-4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1.0398265075551001E-4</v>
      </c>
    </row>
    <row r="1971" spans="2:11" x14ac:dyDescent="0.3">
      <c r="B1971" s="5" t="str">
        <f t="shared" si="1246"/>
        <v>SPS3</v>
      </c>
      <c r="C1971" s="5" t="str">
        <f t="shared" si="1248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2.1821906989603996E-3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1.1169769624802199E-2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2.362841320229997E-5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-3.1922072364761505E-5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7.841658046552951E-6</v>
      </c>
    </row>
    <row r="1972" spans="2:11" x14ac:dyDescent="0.3">
      <c r="B1972" s="5" t="str">
        <f t="shared" ref="B1972:B2035" si="1249">B1971</f>
        <v>SPS3</v>
      </c>
      <c r="C1972" s="5" t="str">
        <f t="shared" si="1248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1.5788168766050399E-4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3.8897710015763196E-4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2.4753321358034006E-5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-2.0157947656137292E-5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3.51321819557995E-6</v>
      </c>
    </row>
    <row r="1973" spans="2:11" x14ac:dyDescent="0.3">
      <c r="B1973" s="5" t="str">
        <f t="shared" si="1249"/>
        <v>SPS3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2.8673669405721052</v>
      </c>
      <c r="G1973" s="3">
        <f t="shared" ref="G1973" si="1250">SUM(G1974:G1996)</f>
        <v>3.0746687331073312</v>
      </c>
      <c r="H1973" s="3">
        <f t="shared" ref="H1973" si="1251">SUM(H1974:H1996)</f>
        <v>2.9174182302452056</v>
      </c>
      <c r="I1973" s="3">
        <f t="shared" ref="I1973" si="1252">SUM(I1974:I1996)</f>
        <v>2.9715071904476136</v>
      </c>
      <c r="J1973" s="3">
        <f t="shared" ref="J1973" si="1253">SUM(J1974:J1996)</f>
        <v>2.9635809674334106</v>
      </c>
      <c r="K1973" s="3">
        <f t="shared" ref="K1973" si="1254">SUM(K1974:K1996)</f>
        <v>2.9704517896984823</v>
      </c>
    </row>
    <row r="1974" spans="2:11" x14ac:dyDescent="0.3">
      <c r="B1974" s="5" t="str">
        <f t="shared" si="1249"/>
        <v>SPS3</v>
      </c>
      <c r="C1974" s="5" t="str">
        <f t="shared" ref="C1974:C1996" si="1255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3">
      <c r="B1975" s="5" t="str">
        <f t="shared" si="1249"/>
        <v>SPS3</v>
      </c>
      <c r="C1975" s="5" t="str">
        <f t="shared" si="1255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1.7201703148119269E-2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3.2797740321456936E-2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1.1472387832845046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1.2842088238678979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1.2345216662101963</v>
      </c>
    </row>
    <row r="1976" spans="2:11" x14ac:dyDescent="0.3">
      <c r="B1976" s="5" t="str">
        <f t="shared" si="1249"/>
        <v>SPS3</v>
      </c>
      <c r="C1976" s="5" t="str">
        <f t="shared" si="1255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1.0848772651616673E-2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1.8960591609671389E-2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2.8438733122483302E-2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1.2473278102235756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1.2194916024507303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1.1971511289709604</v>
      </c>
    </row>
    <row r="1977" spans="2:11" x14ac:dyDescent="0.3">
      <c r="B1977" s="5" t="str">
        <f t="shared" si="1249"/>
        <v>SPS3</v>
      </c>
      <c r="C1977" s="5" t="str">
        <f t="shared" si="1255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2.3175228962169832E-3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7.1582626348770245E-3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1.0862023961826816E-2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0.27486270156053183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0.16246173746541259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0.23736640901261272</v>
      </c>
    </row>
    <row r="1978" spans="2:11" x14ac:dyDescent="0.3">
      <c r="B1978" s="5" t="str">
        <f t="shared" si="1249"/>
        <v>SPS3</v>
      </c>
      <c r="C1978" s="5" t="str">
        <f t="shared" si="1255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1.6779378184755001E-3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3.052920170712597E-3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1.5032099519322398E-3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5.152144727661739E-3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2.3394808697805962E-3</v>
      </c>
    </row>
    <row r="1979" spans="2:11" x14ac:dyDescent="0.3">
      <c r="B1979" s="5" t="str">
        <f t="shared" si="1249"/>
        <v>SPS3</v>
      </c>
      <c r="C1979" s="5" t="str">
        <f t="shared" si="1255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1.3283151769040701E-4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2.9134296042719393E-4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2.6512027471806421E-3</v>
      </c>
    </row>
    <row r="1980" spans="2:11" x14ac:dyDescent="0.3">
      <c r="B1980" s="5" t="str">
        <f t="shared" si="1249"/>
        <v>SPS3</v>
      </c>
      <c r="C1980" s="5" t="str">
        <f t="shared" si="1255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7.4190693173506597E-5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2.9014975796280734E-4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2.67776021340457E-3</v>
      </c>
    </row>
    <row r="1981" spans="2:11" x14ac:dyDescent="0.3">
      <c r="B1981" s="5" t="str">
        <f t="shared" si="1249"/>
        <v>SPS3</v>
      </c>
      <c r="C1981" s="5" t="str">
        <f t="shared" si="1255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0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3.8737944546347896E-4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2.9623125929562101E-3</v>
      </c>
    </row>
    <row r="1982" spans="2:11" x14ac:dyDescent="0.3">
      <c r="B1982" s="5" t="str">
        <f t="shared" si="1249"/>
        <v>SPS3</v>
      </c>
      <c r="C1982" s="5" t="str">
        <f t="shared" si="1255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0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1.35502898267074E-4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2.6550405671875801E-4</v>
      </c>
    </row>
    <row r="1983" spans="2:11" x14ac:dyDescent="0.3">
      <c r="B1983" s="5" t="str">
        <f t="shared" si="1249"/>
        <v>SPS3</v>
      </c>
      <c r="C1983" s="5" t="str">
        <f t="shared" si="1255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4.0864624168530296E-2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5.189368647996425E-2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0.29970242985577628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0.14969317407005361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0.24694273821443999</v>
      </c>
    </row>
    <row r="1984" spans="2:11" x14ac:dyDescent="0.3">
      <c r="B1984" s="5" t="str">
        <f t="shared" si="1249"/>
        <v>SPS3</v>
      </c>
      <c r="C1984" s="5" t="str">
        <f t="shared" si="1255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4.9681047697513504E-3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8.9387388653136054E-3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2.2101249204880104E-4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3.367231321718641E-2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2.1211458062091657E-2</v>
      </c>
    </row>
    <row r="1985" spans="2:11" x14ac:dyDescent="0.3">
      <c r="B1985" s="5" t="str">
        <f t="shared" si="1249"/>
        <v>SPS3</v>
      </c>
      <c r="C1985" s="5" t="str">
        <f t="shared" si="1255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2.02853910849554E-3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3.6503308507804199E-3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6.4063581274230165E-5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0.10580812454264772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2.1053643104074975E-2</v>
      </c>
    </row>
    <row r="1986" spans="2:11" x14ac:dyDescent="0.3">
      <c r="B1986" s="5" t="str">
        <f t="shared" si="1249"/>
        <v>SPS3</v>
      </c>
      <c r="C1986" s="5" t="str">
        <f t="shared" si="1255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6.23094148131041E-4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1.13962646819348E-3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-1.748985981680901E-5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1.25693602333306E-3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4.6921635483625896E-4</v>
      </c>
    </row>
    <row r="1987" spans="2:11" x14ac:dyDescent="0.3">
      <c r="B1987" s="5" t="str">
        <f t="shared" si="1249"/>
        <v>SPS3</v>
      </c>
      <c r="C1987" s="5" t="str">
        <f t="shared" si="1255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0.6494707036173768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3">
      <c r="B1988" s="5" t="str">
        <f t="shared" si="1249"/>
        <v>SPS3</v>
      </c>
      <c r="C1988" s="5" t="str">
        <f t="shared" si="1255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0.30577890784882972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0.80931700783499716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0.98336191594743061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1.1394411165196582E-4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1.7678027698558299E-4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1.8585597691786501E-4</v>
      </c>
    </row>
    <row r="1989" spans="2:11" x14ac:dyDescent="0.3">
      <c r="B1989" s="5" t="str">
        <f t="shared" si="1249"/>
        <v>SPS3</v>
      </c>
      <c r="C1989" s="5" t="str">
        <f t="shared" si="1255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0.98777541062967222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0.90362966166235248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0.91254155519790592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4.0651539108451512E-5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1.1322537700351119E-4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1.6472425578875399E-4</v>
      </c>
    </row>
    <row r="1990" spans="2:11" x14ac:dyDescent="0.3">
      <c r="B1990" s="5" t="str">
        <f t="shared" si="1249"/>
        <v>SPS3</v>
      </c>
      <c r="C1990" s="5" t="str">
        <f t="shared" si="1255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0.1991286756793704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0.18607181755123647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0.18881821204296176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2.7713750879937503E-5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2.1937486710160701E-4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2.0539436937939902E-4</v>
      </c>
    </row>
    <row r="1991" spans="2:11" x14ac:dyDescent="0.3">
      <c r="B1991" s="5" t="str">
        <f t="shared" si="1249"/>
        <v>SPS3</v>
      </c>
      <c r="C1991" s="5" t="str">
        <f t="shared" si="1255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2.5102988815157302E-2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4.7702175761563546E-3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5.188826957548803E-3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-6.3964357022194726E-6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1.0069172629122998E-5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7.7090667546835092E-5</v>
      </c>
    </row>
    <row r="1992" spans="2:11" x14ac:dyDescent="0.3">
      <c r="B1992" s="5" t="str">
        <f t="shared" si="1249"/>
        <v>SPS3</v>
      </c>
      <c r="C1992" s="5" t="str">
        <f t="shared" si="1255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1.4717212786722196E-2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3">
      <c r="B1993" s="5" t="str">
        <f t="shared" si="1249"/>
        <v>SPS3</v>
      </c>
      <c r="C1993" s="5" t="str">
        <f t="shared" si="1255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6.94725904484415E-3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1.2734591962605122E-2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1.7169172220880106E-4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7.8754747390205495E-5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7.1863213459704502E-5</v>
      </c>
    </row>
    <row r="1994" spans="2:11" x14ac:dyDescent="0.3">
      <c r="B1994" s="5" t="str">
        <f t="shared" si="1249"/>
        <v>SPS3</v>
      </c>
      <c r="C1994" s="5" t="str">
        <f t="shared" si="1255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2.4235114952184701E-3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5.9586443647959304E-3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3.3567880934829965E-5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3.9342404321110497E-5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3.7902755305788099E-5</v>
      </c>
    </row>
    <row r="1995" spans="2:11" x14ac:dyDescent="0.3">
      <c r="B1995" s="5" t="str">
        <f t="shared" si="1249"/>
        <v>SPS3</v>
      </c>
      <c r="C1995" s="5" t="str">
        <f t="shared" si="1255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1.2674489054793701E-3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3.0976927416674197E-3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3.1997199746969953E-5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1.0323347433222501E-4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8.0452231389237897E-5</v>
      </c>
    </row>
    <row r="1996" spans="2:11" x14ac:dyDescent="0.3">
      <c r="B1996" s="5" t="str">
        <f t="shared" si="1249"/>
        <v>SPS3</v>
      </c>
      <c r="C1996" s="5" t="str">
        <f t="shared" si="1255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3.2433737461286201E-4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7.5507438545987105E-4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-1.5522621905415012E-5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-9.0443133963326907E-6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1.5985819441651202E-5</v>
      </c>
    </row>
    <row r="1997" spans="2:11" x14ac:dyDescent="0.3">
      <c r="B1997" s="5" t="str">
        <f t="shared" si="1249"/>
        <v>SPS3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399.86537337729112</v>
      </c>
      <c r="G1997" s="3">
        <f t="shared" ref="G1997:K1997" si="1256">SUM(G1998:G2006)</f>
        <v>399.40272540983756</v>
      </c>
      <c r="H1997" s="3">
        <f t="shared" si="1256"/>
        <v>406.80509351654689</v>
      </c>
      <c r="I1997" s="3">
        <f t="shared" si="1256"/>
        <v>419.1413194382572</v>
      </c>
      <c r="J1997" s="3">
        <f t="shared" si="1256"/>
        <v>468.2155442825221</v>
      </c>
      <c r="K1997" s="3">
        <f t="shared" si="1256"/>
        <v>505.43108928073258</v>
      </c>
    </row>
    <row r="1998" spans="2:11" x14ac:dyDescent="0.3">
      <c r="B1998" s="5" t="str">
        <f t="shared" si="1249"/>
        <v>SPS3</v>
      </c>
      <c r="C1998" s="5" t="str">
        <f t="shared" ref="C1998:C2006" si="1257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1.2998831887983913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0.64995475022685778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3">
      <c r="B1999" s="5" t="str">
        <f t="shared" si="1249"/>
        <v>SPS3</v>
      </c>
      <c r="C1999" s="5" t="str">
        <f t="shared" si="1257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1.698591290704887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3.7397024919329898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1.4057845003894902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81.988993860564719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385.34335610464871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417.53551477936333</v>
      </c>
    </row>
    <row r="2000" spans="2:11" x14ac:dyDescent="0.3">
      <c r="B2000" s="5" t="str">
        <f t="shared" si="1249"/>
        <v>SPS3</v>
      </c>
      <c r="C2000" s="5" t="str">
        <f t="shared" si="1257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1.4994508440142601E-2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2.0458037450119499E-2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6.8727278602679479E-2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8.4954758527552451E-2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1.4387626874821309</v>
      </c>
    </row>
    <row r="2001" spans="2:11" x14ac:dyDescent="0.3">
      <c r="B2001" s="5" t="str">
        <f t="shared" si="1249"/>
        <v>SPS3</v>
      </c>
      <c r="C2001" s="5" t="str">
        <f t="shared" si="1257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30.632967053275088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1.2178914868994639E-3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3">
      <c r="B2002" s="5" t="str">
        <f t="shared" si="1249"/>
        <v>SPS3</v>
      </c>
      <c r="C2002" s="5" t="str">
        <f t="shared" si="1257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12.434310716039484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14.146345357560989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0.43818433541284563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1.4848258651304833E-2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1.7568175996352419E-2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1.9388666776422894E-2</v>
      </c>
    </row>
    <row r="2003" spans="2:11" x14ac:dyDescent="0.3">
      <c r="B2003" s="5" t="str">
        <f t="shared" si="1249"/>
        <v>SPS3</v>
      </c>
      <c r="C2003" s="5" t="str">
        <f t="shared" si="1257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152.04544000085613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2.2994643039675466E-4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3">
      <c r="B2004" s="5" t="str">
        <f t="shared" si="1249"/>
        <v>SPS3</v>
      </c>
      <c r="C2004" s="5" t="str">
        <f t="shared" si="1257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106.16174150485136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125.16939487240739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0.45905058670675203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1.0470666079967494E-2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1.9713363793852804E-2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2.0030394191499452E-2</v>
      </c>
    </row>
    <row r="2005" spans="2:11" x14ac:dyDescent="0.3">
      <c r="B2005" s="5" t="str">
        <f t="shared" si="1249"/>
        <v>SPS3</v>
      </c>
      <c r="C2005" s="5" t="str">
        <f t="shared" si="1257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13.814219063926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218.6163399206454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336.37129448731895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82.723444765787008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86.392810757510375</v>
      </c>
    </row>
    <row r="2006" spans="2:11" x14ac:dyDescent="0.3">
      <c r="B2006" s="5" t="str">
        <f t="shared" si="1249"/>
        <v>SPS3</v>
      </c>
      <c r="C2006" s="5" t="str">
        <f t="shared" si="1257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2.6757298656954158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2.542402448903371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1.886985893012664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3.5582298895444023E-2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2.6507113768636601E-2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2.4581995408804361E-2</v>
      </c>
    </row>
    <row r="2007" spans="2:11" x14ac:dyDescent="0.3">
      <c r="B2007" s="5" t="str">
        <f t="shared" si="1249"/>
        <v>SPS3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41.526365343791859</v>
      </c>
      <c r="G2007" s="3">
        <f t="shared" ref="G2007" si="1258">SUM(G2008:G2016)</f>
        <v>42.399790189000448</v>
      </c>
      <c r="H2007" s="3">
        <f t="shared" ref="H2007" si="1259">SUM(H2008:H2016)</f>
        <v>43.465002699323001</v>
      </c>
      <c r="I2007" s="3">
        <f t="shared" ref="I2007" si="1260">SUM(I2008:I2016)</f>
        <v>45.311135708331143</v>
      </c>
      <c r="J2007" s="3">
        <f t="shared" ref="J2007" si="1261">SUM(J2008:J2016)</f>
        <v>49.377345310963698</v>
      </c>
      <c r="K2007" s="3">
        <f t="shared" ref="K2007" si="1262">SUM(K2008:K2016)</f>
        <v>53.180436763905952</v>
      </c>
    </row>
    <row r="2008" spans="2:11" x14ac:dyDescent="0.3">
      <c r="B2008" s="5" t="str">
        <f t="shared" si="1249"/>
        <v>SPS3</v>
      </c>
      <c r="C2008" s="5" t="str">
        <f t="shared" ref="C2008:C2016" si="1263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3">
      <c r="B2009" s="5" t="str">
        <f t="shared" si="1249"/>
        <v>SPS3</v>
      </c>
      <c r="C2009" s="5" t="str">
        <f t="shared" si="1263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5.1957810361589356E-2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0.13140884588373064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0.15728818132112268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1.1051526514910688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0.17286167475899578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47.908359462422709</v>
      </c>
    </row>
    <row r="2010" spans="2:11" x14ac:dyDescent="0.3">
      <c r="B2010" s="5" t="str">
        <f t="shared" si="1249"/>
        <v>SPS3</v>
      </c>
      <c r="C2010" s="5" t="str">
        <f t="shared" si="1263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1.195534963136901E-2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5.4712349126936361E-3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2.560248631632395E-3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3.1851580847210926E-4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1.679338772311301E-2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0.14504824595199589</v>
      </c>
    </row>
    <row r="2011" spans="2:11" x14ac:dyDescent="0.3">
      <c r="B2011" s="5" t="str">
        <f t="shared" si="1249"/>
        <v>SPS3</v>
      </c>
      <c r="C2011" s="5" t="str">
        <f t="shared" si="1263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3">
      <c r="B2012" s="5" t="str">
        <f t="shared" si="1249"/>
        <v>SPS3</v>
      </c>
      <c r="C2012" s="5" t="str">
        <f t="shared" si="1263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3">
      <c r="B2013" s="5" t="str">
        <f t="shared" si="1249"/>
        <v>SPS3</v>
      </c>
      <c r="C2013" s="5" t="str">
        <f t="shared" si="1263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19.774608140573601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-4.8182793680254243E-5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3">
      <c r="B2014" s="5" t="str">
        <f t="shared" si="1249"/>
        <v>SPS3</v>
      </c>
      <c r="C2014" s="5" t="str">
        <f t="shared" si="1263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11.681374756847543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13.68415144458832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10.712968727948827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3.0286839280664959E-5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2.2815157549893977E-2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7.543968159420854E-3</v>
      </c>
    </row>
    <row r="2015" spans="2:11" x14ac:dyDescent="0.3">
      <c r="B2015" s="5" t="str">
        <f t="shared" si="1249"/>
        <v>SPS3</v>
      </c>
      <c r="C2015" s="5" t="str">
        <f t="shared" si="1263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2.84379658741473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12.790432547377302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44.202531780719134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49.161578995002571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5.1161531658235537</v>
      </c>
    </row>
    <row r="2016" spans="2:11" x14ac:dyDescent="0.3">
      <c r="B2016" s="5" t="str">
        <f t="shared" si="1249"/>
        <v>SPS3</v>
      </c>
      <c r="C2016" s="5" t="str">
        <f t="shared" si="1263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0.1190774269513535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2.7895409534271609E-2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2.7144853470517774E-2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3.1506562668653193E-3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3.2960959291217832E-3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3.3319215482719099E-3</v>
      </c>
    </row>
    <row r="2017" spans="2:11" x14ac:dyDescent="0.3">
      <c r="B2017" s="5" t="str">
        <f t="shared" si="1249"/>
        <v>SPS3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264">SUM(F2018,F2022,F2025)</f>
        <v>1.26979598600505E-3</v>
      </c>
      <c r="G2017" s="3">
        <f t="shared" ref="G2017" si="1265">SUM(G2018,G2022,G2025)</f>
        <v>1.2942602853689795E-3</v>
      </c>
      <c r="H2017" s="3">
        <f t="shared" ref="H2017" si="1266">SUM(H2018,H2022,H2025)</f>
        <v>1.3122014583378961E-3</v>
      </c>
      <c r="I2017" s="3">
        <f t="shared" ref="I2017" si="1267">SUM(I2018,I2022,I2025)</f>
        <v>1.4073237850596872E-3</v>
      </c>
      <c r="J2017" s="3">
        <f t="shared" ref="J2017" si="1268">SUM(J2018,J2022,J2025)</f>
        <v>1.0807657385420315</v>
      </c>
      <c r="K2017" s="3">
        <f t="shared" ref="K2017" si="1269">SUM(K2018,K2022,K2025)</f>
        <v>2.2685492320969622</v>
      </c>
    </row>
    <row r="2018" spans="2:11" x14ac:dyDescent="0.3">
      <c r="B2018" s="5" t="str">
        <f t="shared" si="1249"/>
        <v>SPS3</v>
      </c>
      <c r="C2018" s="5" t="str">
        <f t="shared" ref="C2018:C2027" si="127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1.26979598600505E-3</v>
      </c>
      <c r="G2018" s="1" cm="1">
        <f t="array" ref="G2018">SUMPRODUCT(ISNUMBER(SEARCH("SUP_ELCH2*",[1]OUT_SyntheticFuels!$C$4:$C$1000))*1,("Var_cap"=[1]OUT_SyntheticFuels!$B$4:$B$1000)*1,[1]OUT_SyntheticFuels!F$4:F$1000)</f>
        <v>1.2942602853689795E-3</v>
      </c>
      <c r="H2018" s="1" cm="1">
        <f t="array" ref="H2018">SUMPRODUCT(ISNUMBER(SEARCH("SUP_ELCH2*",[1]OUT_SyntheticFuels!$C$4:$C$1000))*1,("Var_cap"=[1]OUT_SyntheticFuels!$B$4:$B$1000)*1,[1]OUT_SyntheticFuels!G$4:G$1000)</f>
        <v>1.3122014583378961E-3</v>
      </c>
      <c r="I2018" s="1" cm="1">
        <f t="array" ref="I2018">SUMPRODUCT(ISNUMBER(SEARCH("SUP_ELCH2*",[1]OUT_SyntheticFuels!$C$4:$C$1000))*1,("Var_cap"=[1]OUT_SyntheticFuels!$B$4:$B$1000)*1,[1]OUT_SyntheticFuels!H$4:H$1000)</f>
        <v>1.3986031949347617E-3</v>
      </c>
      <c r="J2018" s="1" cm="1">
        <f t="array" ref="J2018">SUMPRODUCT(ISNUMBER(SEARCH("SUP_ELCH2*",[1]OUT_SyntheticFuels!$C$4:$C$1000))*1,("Var_cap"=[1]OUT_SyntheticFuels!$B$4:$B$1000)*1,[1]OUT_SyntheticFuels!I$4:I$1000)</f>
        <v>1.0807328806212662</v>
      </c>
      <c r="K2018" s="1" cm="1">
        <f t="array" ref="K2018">SUMPRODUCT(ISNUMBER(SEARCH("SUP_ELCH2*",[1]OUT_SyntheticFuels!$C$4:$C$1000))*1,("Var_cap"=[1]OUT_SyntheticFuels!$B$4:$B$1000)*1,[1]OUT_SyntheticFuels!J$4:J$1000)</f>
        <v>2.0578185331798542</v>
      </c>
    </row>
    <row r="2019" spans="2:11" x14ac:dyDescent="0.3">
      <c r="B2019" s="5" t="str">
        <f t="shared" si="1249"/>
        <v>SPS3</v>
      </c>
      <c r="C2019" s="5" t="str">
        <f t="shared" si="1270"/>
        <v>CH</v>
      </c>
      <c r="D2019" t="s">
        <v>2146</v>
      </c>
      <c r="E2019" t="s">
        <v>2155</v>
      </c>
      <c r="F2019" s="1">
        <f t="shared" ref="F2019" si="1271">F2018-F2020-F2021</f>
        <v>1.26979598600505E-3</v>
      </c>
      <c r="G2019" s="1">
        <f t="shared" ref="G2019" si="1272">G2018-G2020-G2021</f>
        <v>1.2942602853689795E-3</v>
      </c>
      <c r="H2019" s="1">
        <f t="shared" ref="H2019" si="1273">H2018-H2020-H2021</f>
        <v>1.3122014583378961E-3</v>
      </c>
      <c r="I2019" s="1">
        <f t="shared" ref="I2019" si="1274">I2018-I2020-I2021</f>
        <v>1.3263526541862206E-3</v>
      </c>
      <c r="J2019" s="1">
        <f t="shared" ref="J2019" si="1275">J2018-J2020-J2021</f>
        <v>0.32675770042968511</v>
      </c>
      <c r="K2019" s="1">
        <f t="shared" ref="K2019" si="1276">K2018-K2020-K2021</f>
        <v>1.509613727352437</v>
      </c>
    </row>
    <row r="2020" spans="2:11" x14ac:dyDescent="0.3">
      <c r="B2020" s="5" t="str">
        <f t="shared" si="1249"/>
        <v>SPS3</v>
      </c>
      <c r="C2020" s="5" t="str">
        <f t="shared" si="127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7.22505407485411E-5</v>
      </c>
      <c r="J2020" s="1" cm="1">
        <f t="array" ref="J2020">SUMPRODUCT(ISNUMBER(SEARCH("SUP_ELCH2*D",[1]OUT_SyntheticFuels!$C$4:$C$1000))*1,("Var_cap"=[1]OUT_SyntheticFuels!$B$4:$B$1000)*1,[1]OUT_SyntheticFuels!I$4:I$1000)</f>
        <v>6.9146927802725106E-2</v>
      </c>
      <c r="K2020" s="1" cm="1">
        <f t="array" ref="K2020">SUMPRODUCT(ISNUMBER(SEARCH("SUP_ELCH2*D",[1]OUT_SyntheticFuels!$C$4:$C$1000))*1,("Var_cap"=[1]OUT_SyntheticFuels!$B$4:$B$1000)*1,[1]OUT_SyntheticFuels!J$4:J$1000)</f>
        <v>0.20567064315868899</v>
      </c>
    </row>
    <row r="2021" spans="2:11" x14ac:dyDescent="0.3">
      <c r="B2021" s="5" t="str">
        <f t="shared" si="1249"/>
        <v>SPS3</v>
      </c>
      <c r="C2021" s="5" t="str">
        <f t="shared" si="127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0.68482825238885603</v>
      </c>
      <c r="K2021" s="1" cm="1">
        <f t="array" ref="K2021">SUMPRODUCT(ISNUMBER(SEARCH("SUP_ELCH2*SOEC*",[1]OUT_SyntheticFuels!$C$4:$C$1000))*1,("Var_cap"=[1]OUT_SyntheticFuels!$B$4:$B$1000)*1,[1]OUT_SyntheticFuels!J$4:J$1000)</f>
        <v>0.34253416266872821</v>
      </c>
    </row>
    <row r="2022" spans="2:11" x14ac:dyDescent="0.3">
      <c r="B2022" s="5" t="str">
        <f t="shared" si="1249"/>
        <v>SPS3</v>
      </c>
      <c r="C2022" s="5" t="str">
        <f t="shared" si="1270"/>
        <v>CH</v>
      </c>
      <c r="D2022" t="s">
        <v>2149</v>
      </c>
      <c r="E2022" t="s">
        <v>2155</v>
      </c>
      <c r="F2022" s="1">
        <f t="shared" ref="F2022" si="1277">SUM(F2023:F2024)</f>
        <v>0</v>
      </c>
      <c r="G2022" s="1">
        <f t="shared" ref="G2022" si="1278">SUM(G2023:G2024)</f>
        <v>0</v>
      </c>
      <c r="H2022" s="1">
        <f t="shared" ref="H2022" si="1279">SUM(H2023:H2024)</f>
        <v>0</v>
      </c>
      <c r="I2022" s="1">
        <f t="shared" ref="I2022" si="1280">SUM(I2023:I2024)</f>
        <v>8.7205901249255505E-6</v>
      </c>
      <c r="J2022" s="1">
        <f t="shared" ref="J2022" si="1281">SUM(J2023:J2024)</f>
        <v>3.2857920765446053E-5</v>
      </c>
      <c r="K2022" s="1">
        <f t="shared" ref="K2022" si="1282">SUM(K2023:K2024)</f>
        <v>1.7814796302162202E-3</v>
      </c>
    </row>
    <row r="2023" spans="2:11" x14ac:dyDescent="0.3">
      <c r="B2023" s="5" t="str">
        <f t="shared" si="1249"/>
        <v>SPS3</v>
      </c>
      <c r="C2023" s="5" t="str">
        <f t="shared" si="127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8.7205901249255505E-6</v>
      </c>
      <c r="J2023" s="1" cm="1">
        <f t="array" ref="J2023">SUMPRODUCT(ISNUMBER(SEARCH("SUP_NGAH2",[1]OUT_SyntheticFuels!$C$4:$C$1000))*1,("Var_cap"=[1]OUT_SyntheticFuels!$B$4:$B$1000)*1,[1]OUT_SyntheticFuels!I$4:I$1000)-J2024</f>
        <v>2.6046496505333393E-5</v>
      </c>
      <c r="K2023" s="1" cm="1">
        <f t="array" ref="K2023">SUMPRODUCT(ISNUMBER(SEARCH("SUP_NGAH2",[1]OUT_SyntheticFuels!$C$4:$C$1000))*1,("Var_cap"=[1]OUT_SyntheticFuels!$B$4:$B$1000)*1,[1]OUT_SyntheticFuels!J$4:J$1000)-K2024</f>
        <v>7.3171996733882518E-4</v>
      </c>
    </row>
    <row r="2024" spans="2:11" x14ac:dyDescent="0.3">
      <c r="B2024" s="5" t="str">
        <f t="shared" si="1249"/>
        <v>SPS3</v>
      </c>
      <c r="C2024" s="5" t="str">
        <f t="shared" si="127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6.8114242601126597E-6</v>
      </c>
      <c r="K2024" s="1" cm="1">
        <f t="array" ref="K2024">SUMPRODUCT(ISNUMBER(SEARCH("SUP_NGAH2CCS",[1]OUT_SyntheticFuels!$C$4:$C$1000))*1,("Var_cap"=[1]OUT_SyntheticFuels!$B$4:$B$1000)*1,[1]OUT_SyntheticFuels!J$4:J$1000)</f>
        <v>1.0497596628773951E-3</v>
      </c>
    </row>
    <row r="2025" spans="2:11" x14ac:dyDescent="0.3">
      <c r="B2025" s="5" t="str">
        <f t="shared" si="1249"/>
        <v>SPS3</v>
      </c>
      <c r="C2025" s="5" t="str">
        <f t="shared" si="1270"/>
        <v>CH</v>
      </c>
      <c r="D2025" t="s">
        <v>2152</v>
      </c>
      <c r="E2025" t="s">
        <v>2155</v>
      </c>
      <c r="F2025" s="1">
        <f t="shared" ref="F2025" si="1283">SUM(F2026:F2027)</f>
        <v>0</v>
      </c>
      <c r="G2025" s="1">
        <f t="shared" ref="G2025" si="1284">SUM(G2026:G2027)</f>
        <v>0</v>
      </c>
      <c r="H2025" s="1">
        <f t="shared" ref="H2025" si="1285">SUM(H2026:H2027)</f>
        <v>0</v>
      </c>
      <c r="I2025" s="1">
        <f t="shared" ref="I2025" si="1286">SUM(I2026:I2027)</f>
        <v>0</v>
      </c>
      <c r="J2025" s="1">
        <f t="shared" ref="J2025" si="1287">SUM(J2026:J2027)</f>
        <v>0</v>
      </c>
      <c r="K2025" s="1">
        <f t="shared" ref="K2025" si="1288">SUM(K2026:K2027)</f>
        <v>0.20894921928689161</v>
      </c>
    </row>
    <row r="2026" spans="2:11" x14ac:dyDescent="0.3">
      <c r="B2026" s="5" t="str">
        <f t="shared" si="1249"/>
        <v>SPS3</v>
      </c>
      <c r="C2026" s="5" t="str">
        <f t="shared" si="127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2.7473360573460059E-4</v>
      </c>
    </row>
    <row r="2027" spans="2:11" x14ac:dyDescent="0.3">
      <c r="B2027" s="5" t="str">
        <f t="shared" si="1249"/>
        <v>SPS3</v>
      </c>
      <c r="C2027" s="5" t="str">
        <f t="shared" si="127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0.20867448568115701</v>
      </c>
    </row>
    <row r="2028" spans="2:11" x14ac:dyDescent="0.3">
      <c r="B2028" s="5" t="str">
        <f t="shared" si="1249"/>
        <v>SPS3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3">
      <c r="B2029" s="5" t="str">
        <f t="shared" si="1249"/>
        <v>SPS3</v>
      </c>
      <c r="C2029" s="5" t="str">
        <f t="shared" ref="C2029:C2044" si="1289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3.4626588712918266E-2</v>
      </c>
      <c r="G2029" s="7" cm="1">
        <f t="array" ref="G2029">SUMPRODUCT(("CT_CWODBDS"=[1]OUT_SyntheticFuels!$C$4:$C$1000)*1,("Var_cap"=[1]OUT_SyntheticFuels!$B$4:$B$1000)*1,[1]OUT_SyntheticFuels!F$4:F$1000)</f>
        <v>3.4378904949749767E-2</v>
      </c>
      <c r="H2029" s="7" cm="1">
        <f t="array" ref="H2029">SUMPRODUCT(("CT_CWODBDS"=[1]OUT_SyntheticFuels!$C$4:$C$1000)*1,("Var_cap"=[1]OUT_SyntheticFuels!$B$4:$B$1000)*1,[1]OUT_SyntheticFuels!G$4:G$1000)</f>
        <v>4.194733849792763E-3</v>
      </c>
      <c r="I2029" s="7" cm="1">
        <f t="array" ref="I2029">SUMPRODUCT(("CT_CWODBDS"=[1]OUT_SyntheticFuels!$C$4:$C$1000)*1,("Var_cap"=[1]OUT_SyntheticFuels!$B$4:$B$1000)*1,[1]OUT_SyntheticFuels!H$4:H$1000)</f>
        <v>8.032566976839961E-4</v>
      </c>
      <c r="J2029" s="7" cm="1">
        <f t="array" ref="J2029">SUMPRODUCT(("CT_CWODBDS"=[1]OUT_SyntheticFuels!$C$4:$C$1000)*1,("Var_cap"=[1]OUT_SyntheticFuels!$B$4:$B$1000)*1,[1]OUT_SyntheticFuels!I$4:I$1000)</f>
        <v>0.1455573780522281</v>
      </c>
      <c r="K2029" s="7" cm="1">
        <f t="array" ref="K2029">SUMPRODUCT(("CT_CWODBDS"=[1]OUT_SyntheticFuels!$C$4:$C$1000)*1,("Var_cap"=[1]OUT_SyntheticFuels!$B$4:$B$1000)*1,[1]OUT_SyntheticFuels!J$4:J$1000)</f>
        <v>3.7770300710499027E-4</v>
      </c>
    </row>
    <row r="2030" spans="2:11" x14ac:dyDescent="0.3">
      <c r="B2030" s="5" t="str">
        <f t="shared" si="1249"/>
        <v>SPS3</v>
      </c>
      <c r="C2030" s="5" t="str">
        <f t="shared" si="1289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2.35135118882882E-4</v>
      </c>
      <c r="K2030" s="7" cm="1">
        <f t="array" ref="K2030">SUMPRODUCT(("CT_CWODBDSCCS"=[1]OUT_SyntheticFuels!$C$4:$C$1000)*1,("Var_cap"=[1]OUT_SyntheticFuels!$B$4:$B$1000)*1,[1]OUT_SyntheticFuels!J$4:J$1000)</f>
        <v>0.118379122942286</v>
      </c>
    </row>
    <row r="2031" spans="2:11" x14ac:dyDescent="0.3">
      <c r="B2031" s="5" t="str">
        <f t="shared" si="1249"/>
        <v>SPS3</v>
      </c>
      <c r="C2031" s="5" t="str">
        <f t="shared" si="1289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4.4991310428131436E-3</v>
      </c>
      <c r="G2031" s="7" cm="1">
        <f t="array" ref="G2031">SUMPRODUCT(("CT_CWODETH"=[1]OUT_SyntheticFuels!$C$4:$C$1000)*1,("Var_cap"=[1]OUT_SyntheticFuels!$B$4:$B$1000)*1,[1]OUT_SyntheticFuels!F$4:F$1000)</f>
        <v>4.5047429149686615E-3</v>
      </c>
      <c r="H2031" s="7" cm="1">
        <f t="array" ref="H2031">SUMPRODUCT(("CT_CWODETH"=[1]OUT_SyntheticFuels!$C$4:$C$1000)*1,("Var_cap"=[1]OUT_SyntheticFuels!$B$4:$B$1000)*1,[1]OUT_SyntheticFuels!G$4:G$1000)</f>
        <v>5.0155698591352646E-2</v>
      </c>
      <c r="I2031" s="7" cm="1">
        <f t="array" ref="I2031">SUMPRODUCT(("CT_CWODETH"=[1]OUT_SyntheticFuels!$C$4:$C$1000)*1,("Var_cap"=[1]OUT_SyntheticFuels!$B$4:$B$1000)*1,[1]OUT_SyntheticFuels!H$4:H$1000)</f>
        <v>0.15126275371439424</v>
      </c>
      <c r="J2031" s="7" cm="1">
        <f t="array" ref="J2031">SUMPRODUCT(("CT_CWODETH"=[1]OUT_SyntheticFuels!$C$4:$C$1000)*1,("Var_cap"=[1]OUT_SyntheticFuels!$B$4:$B$1000)*1,[1]OUT_SyntheticFuels!I$4:I$1000)</f>
        <v>4.419185406029924E-4</v>
      </c>
      <c r="K2031" s="7" cm="1">
        <f t="array" ref="K2031">SUMPRODUCT(("CT_CWODETH"=[1]OUT_SyntheticFuels!$C$4:$C$1000)*1,("Var_cap"=[1]OUT_SyntheticFuels!$B$4:$B$1000)*1,[1]OUT_SyntheticFuels!J$4:J$1000)</f>
        <v>1.5721393841510237E-4</v>
      </c>
    </row>
    <row r="2032" spans="2:11" x14ac:dyDescent="0.3">
      <c r="B2032" s="5" t="str">
        <f t="shared" si="1249"/>
        <v>SPS3</v>
      </c>
      <c r="C2032" s="5" t="str">
        <f t="shared" si="1289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1.22084878290739E-4</v>
      </c>
      <c r="K2032" s="7" cm="1">
        <f t="array" ref="K2032">SUMPRODUCT(("CT_CWODETHCCS"=[1]OUT_SyntheticFuels!$C$4:$C$1000)*1,("Var_cap"=[1]OUT_SyntheticFuels!$B$4:$B$1000)*1,[1]OUT_SyntheticFuels!J$4:J$1000)</f>
        <v>1.2383660008776799E-4</v>
      </c>
    </row>
    <row r="2033" spans="2:11" x14ac:dyDescent="0.3">
      <c r="B2033" s="5" t="str">
        <f t="shared" si="1249"/>
        <v>SPS3</v>
      </c>
      <c r="C2033" s="5" t="str">
        <f t="shared" si="1289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6.8338458260397805E-2</v>
      </c>
      <c r="G2033" s="7" cm="1">
        <f t="array" ref="G2033">SUMPRODUCT(("SUP_MNRBIO"=[1]OUT_SyntheticFuels!$C$4:$C$1000)*1,("Var_cap"=[1]OUT_SyntheticFuels!$B$4:$B$1000)*1,[1]OUT_SyntheticFuels!F$4:F$1000)</f>
        <v>0.16244746809293342</v>
      </c>
      <c r="H2033" s="7" cm="1">
        <f t="array" ref="H2033">SUMPRODUCT(("SUP_MNRBIO"=[1]OUT_SyntheticFuels!$C$4:$C$1000)*1,("Var_cap"=[1]OUT_SyntheticFuels!$B$4:$B$1000)*1,[1]OUT_SyntheticFuels!G$4:G$1000)</f>
        <v>0.16247137563248426</v>
      </c>
      <c r="I2033" s="7" cm="1">
        <f t="array" ref="I2033">SUMPRODUCT(("SUP_MNRBIO"=[1]OUT_SyntheticFuels!$C$4:$C$1000)*1,("Var_cap"=[1]OUT_SyntheticFuels!$B$4:$B$1000)*1,[1]OUT_SyntheticFuels!H$4:H$1000)</f>
        <v>0.16247169917463122</v>
      </c>
      <c r="J2033" s="7" cm="1">
        <f t="array" ref="J2033">SUMPRODUCT(("SUP_MNRBIO"=[1]OUT_SyntheticFuels!$C$4:$C$1000)*1,("Var_cap"=[1]OUT_SyntheticFuels!$B$4:$B$1000)*1,[1]OUT_SyntheticFuels!I$4:I$1000)</f>
        <v>0.19009675877107551</v>
      </c>
      <c r="K2033" s="7" cm="1">
        <f t="array" ref="K2033">SUMPRODUCT(("SUP_MNRBIO"=[1]OUT_SyntheticFuels!$C$4:$C$1000)*1,("Var_cap"=[1]OUT_SyntheticFuels!$B$4:$B$1000)*1,[1]OUT_SyntheticFuels!J$4:J$1000)</f>
        <v>0.34967450580434917</v>
      </c>
    </row>
    <row r="2034" spans="2:11" x14ac:dyDescent="0.3">
      <c r="B2034" s="5" t="str">
        <f t="shared" si="1249"/>
        <v>SPS3</v>
      </c>
      <c r="C2034" s="5" t="str">
        <f t="shared" si="1289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0.21269334239545948</v>
      </c>
      <c r="G2034" s="7" cm="1">
        <f t="array" ref="G2034">SUMPRODUCT(("SUP_WSTBIO"=[1]OUT_SyntheticFuels!$C$4:$C$1000)*1,("Var_cap"=[1]OUT_SyntheticFuels!$B$4:$B$1000)*1,[1]OUT_SyntheticFuels!F$4:F$1000)</f>
        <v>0.2129675125143638</v>
      </c>
      <c r="H2034" s="7" cm="1">
        <f t="array" ref="H2034">SUMPRODUCT(("SUP_WSTBIO"=[1]OUT_SyntheticFuels!$C$4:$C$1000)*1,("Var_cap"=[1]OUT_SyntheticFuels!$B$4:$B$1000)*1,[1]OUT_SyntheticFuels!G$4:G$1000)</f>
        <v>0.21295577630500695</v>
      </c>
      <c r="I2034" s="7" cm="1">
        <f t="array" ref="I2034">SUMPRODUCT(("SUP_WSTBIO"=[1]OUT_SyntheticFuels!$C$4:$C$1000)*1,("Var_cap"=[1]OUT_SyntheticFuels!$B$4:$B$1000)*1,[1]OUT_SyntheticFuels!H$4:H$1000)</f>
        <v>0.26147168084889555</v>
      </c>
      <c r="J2034" s="7" cm="1">
        <f t="array" ref="J2034">SUMPRODUCT(("SUP_WSTBIO"=[1]OUT_SyntheticFuels!$C$4:$C$1000)*1,("Var_cap"=[1]OUT_SyntheticFuels!$B$4:$B$1000)*1,[1]OUT_SyntheticFuels!I$4:I$1000)</f>
        <v>0.28929374452061579</v>
      </c>
      <c r="K2034" s="7" cm="1">
        <f t="array" ref="K2034">SUMPRODUCT(("SUP_WSTBIO"=[1]OUT_SyntheticFuels!$C$4:$C$1000)*1,("Var_cap"=[1]OUT_SyntheticFuels!$B$4:$B$1000)*1,[1]OUT_SyntheticFuels!J$4:J$1000)</f>
        <v>0.37132591549420196</v>
      </c>
    </row>
    <row r="2035" spans="2:11" x14ac:dyDescent="0.3">
      <c r="B2035" s="5" t="str">
        <f t="shared" si="1249"/>
        <v>SPS3</v>
      </c>
      <c r="C2035" s="5" t="str">
        <f t="shared" si="1289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3">
      <c r="B2036" s="5" t="str">
        <f t="shared" ref="B2036:B2044" si="1290">B2035</f>
        <v>SPS3</v>
      </c>
      <c r="C2036" s="5" t="str">
        <f t="shared" si="1289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2.8848760258061602E-4</v>
      </c>
      <c r="K2036" s="7" cm="1">
        <f t="array" ref="K2036">SUMPRODUCT(("SUP_WSTHTGBIO"=[1]OUT_SyntheticFuels!$C$4:$C$1000)*1,("Var_cap"=[1]OUT_SyntheticFuels!$B$4:$B$1000)*1,[1]OUT_SyntheticFuels!J$4:J$1000)</f>
        <v>2.9403273009726032E-4</v>
      </c>
    </row>
    <row r="2037" spans="2:11" x14ac:dyDescent="0.3">
      <c r="B2037" s="5" t="str">
        <f t="shared" si="1290"/>
        <v>SPS3</v>
      </c>
      <c r="C2037" s="5" t="str">
        <f t="shared" si="1289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1.00865547990599E-4</v>
      </c>
      <c r="K2037" s="7" cm="1">
        <f t="array" ref="K2037">SUMPRODUCT(("SUP_WSTHTGBIOCCS"=[1]OUT_SyntheticFuels!$C$4:$C$1000)*1,("Var_cap"=[1]OUT_SyntheticFuels!$B$4:$B$1000)*1,[1]OUT_SyntheticFuels!J$4:J$1000)</f>
        <v>4.808400060764209E-4</v>
      </c>
    </row>
    <row r="2038" spans="2:11" x14ac:dyDescent="0.3">
      <c r="B2038" s="5" t="str">
        <f t="shared" si="1290"/>
        <v>SPS3</v>
      </c>
      <c r="C2038" s="5" t="str">
        <f t="shared" si="1289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1.1757669409884699E-5</v>
      </c>
      <c r="G2038" s="7" cm="1">
        <f t="array" ref="G2038">SUMPRODUCT(("SUP_WODBIO"=[1]OUT_SyntheticFuels!$C$4:$C$1000)*1,("Var_cap"=[1]OUT_SyntheticFuels!$B$4:$B$1000)*1,[1]OUT_SyntheticFuels!F$4:F$1000)</f>
        <v>5.5170771797175746E-3</v>
      </c>
      <c r="H2038" s="7" cm="1">
        <f t="array" ref="H2038">SUMPRODUCT(("SUP_WODBIO"=[1]OUT_SyntheticFuels!$C$4:$C$1000)*1,("Var_cap"=[1]OUT_SyntheticFuels!$B$4:$B$1000)*1,[1]OUT_SyntheticFuels!G$4:G$1000)</f>
        <v>5.5311521453702585E-3</v>
      </c>
      <c r="I2038" s="7" cm="1">
        <f t="array" ref="I2038">SUMPRODUCT(("SUP_WODBIO"=[1]OUT_SyntheticFuels!$C$4:$C$1000)*1,("Var_cap"=[1]OUT_SyntheticFuels!$B$4:$B$1000)*1,[1]OUT_SyntheticFuels!H$4:H$1000)</f>
        <v>2.6531655248803316E-2</v>
      </c>
      <c r="J2038" s="7" cm="1">
        <f t="array" ref="J2038">SUMPRODUCT(("SUP_WODBIO"=[1]OUT_SyntheticFuels!$C$4:$C$1000)*1,("Var_cap"=[1]OUT_SyntheticFuels!$B$4:$B$1000)*1,[1]OUT_SyntheticFuels!I$4:I$1000)</f>
        <v>2.6541498553261673E-2</v>
      </c>
      <c r="K2038" s="7" cm="1">
        <f t="array" ref="K2038">SUMPRODUCT(("SUP_WODBIO"=[1]OUT_SyntheticFuels!$C$4:$C$1000)*1,("Var_cap"=[1]OUT_SyntheticFuels!$B$4:$B$1000)*1,[1]OUT_SyntheticFuels!J$4:J$1000)</f>
        <v>2.539505573979834E-2</v>
      </c>
    </row>
    <row r="2039" spans="2:11" x14ac:dyDescent="0.3">
      <c r="B2039" s="5" t="str">
        <f t="shared" si="1290"/>
        <v>SPS3</v>
      </c>
      <c r="C2039" s="5" t="str">
        <f t="shared" si="1289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3.2607077623981101E-4</v>
      </c>
      <c r="K2039" s="7" cm="1">
        <f t="array" ref="K2039">SUMPRODUCT(("SUP_WODBIOCCS"=[1]OUT_SyntheticFuels!$C$4:$C$1000)*1,("Var_cap"=[1]OUT_SyntheticFuels!$B$4:$B$1000)*1,[1]OUT_SyntheticFuels!J$4:J$1000)</f>
        <v>1.38155850239096E-3</v>
      </c>
    </row>
    <row r="2040" spans="2:11" x14ac:dyDescent="0.3">
      <c r="B2040" s="5" t="str">
        <f t="shared" si="1290"/>
        <v>SPS3</v>
      </c>
      <c r="C2040" s="5" t="str">
        <f t="shared" si="1289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4.2320507931766935E-2</v>
      </c>
      <c r="G2040" s="7" cm="1">
        <f t="array" ref="G2040">SUMPRODUCT(("SUP_BIONGA"=[1]OUT_SyntheticFuels!$C$4:$C$1000)*1,("Var_cap"=[1]OUT_SyntheticFuels!$B$4:$B$1000)*1,[1]OUT_SyntheticFuels!F$4:F$1000)</f>
        <v>4.2546561648524994E-2</v>
      </c>
      <c r="H2040" s="7" cm="1">
        <f t="array" ref="H2040">SUMPRODUCT(("SUP_BIONGA"=[1]OUT_SyntheticFuels!$C$4:$C$1000)*1,("Var_cap"=[1]OUT_SyntheticFuels!$B$4:$B$1000)*1,[1]OUT_SyntheticFuels!G$4:G$1000)</f>
        <v>4.2575922178344737E-2</v>
      </c>
      <c r="I2040" s="7" cm="1">
        <f t="array" ref="I2040">SUMPRODUCT(("SUP_BIONGA"=[1]OUT_SyntheticFuels!$C$4:$C$1000)*1,("Var_cap"=[1]OUT_SyntheticFuels!$B$4:$B$1000)*1,[1]OUT_SyntheticFuels!H$4:H$1000)</f>
        <v>0.20005787681686069</v>
      </c>
      <c r="J2040" s="7" cm="1">
        <f t="array" ref="J2040">SUMPRODUCT(("SUP_BIONGA"=[1]OUT_SyntheticFuels!$C$4:$C$1000)*1,("Var_cap"=[1]OUT_SyntheticFuels!$B$4:$B$1000)*1,[1]OUT_SyntheticFuels!I$4:I$1000)</f>
        <v>0.1937973372267334</v>
      </c>
      <c r="K2040" s="7" cm="1">
        <f t="array" ref="K2040">SUMPRODUCT(("SUP_BIONGA"=[1]OUT_SyntheticFuels!$C$4:$C$1000)*1,("Var_cap"=[1]OUT_SyntheticFuels!$B$4:$B$1000)*1,[1]OUT_SyntheticFuels!J$4:J$1000)</f>
        <v>0.33360541990074138</v>
      </c>
    </row>
    <row r="2041" spans="2:11" x14ac:dyDescent="0.3">
      <c r="B2041" s="5" t="str">
        <f t="shared" si="1290"/>
        <v>SPS3</v>
      </c>
      <c r="C2041" s="5" t="str">
        <f t="shared" si="1289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0.36140831878476853</v>
      </c>
      <c r="G2041" s="7" cm="1">
        <f t="array" ref="G2041">SUMPRODUCT(("CT_CWODPLT"=[1]OUT_SyntheticFuels!$C$4:$C$1000)*1,("Var_cap"=[1]OUT_SyntheticFuels!$B$4:$B$1000)*1,[1]OUT_SyntheticFuels!F$4:F$1000)</f>
        <v>0.40983088854493827</v>
      </c>
      <c r="H2041" s="7" cm="1">
        <f t="array" ref="H2041">SUMPRODUCT(("CT_CWODPLT"=[1]OUT_SyntheticFuels!$C$4:$C$1000)*1,("Var_cap"=[1]OUT_SyntheticFuels!$B$4:$B$1000)*1,[1]OUT_SyntheticFuels!G$4:G$1000)</f>
        <v>6.5117065972721988E-2</v>
      </c>
      <c r="I2041" s="7" cm="1">
        <f t="array" ref="I2041">SUMPRODUCT(("CT_CWODPLT"=[1]OUT_SyntheticFuels!$C$4:$C$1000)*1,("Var_cap"=[1]OUT_SyntheticFuels!$B$4:$B$1000)*1,[1]OUT_SyntheticFuels!H$4:H$1000)</f>
        <v>6.0489095825963013E-2</v>
      </c>
      <c r="J2041" s="7" cm="1">
        <f t="array" ref="J2041">SUMPRODUCT(("CT_CWODPLT"=[1]OUT_SyntheticFuels!$C$4:$C$1000)*1,("Var_cap"=[1]OUT_SyntheticFuels!$B$4:$B$1000)*1,[1]OUT_SyntheticFuels!I$4:I$1000)</f>
        <v>4.7365345232833506E-2</v>
      </c>
      <c r="K2041" s="7" cm="1">
        <f t="array" ref="K2041">SUMPRODUCT(("CT_CWODPLT"=[1]OUT_SyntheticFuels!$C$4:$C$1000)*1,("Var_cap"=[1]OUT_SyntheticFuels!$B$4:$B$1000)*1,[1]OUT_SyntheticFuels!J$4:J$1000)</f>
        <v>3.7286638196046731E-2</v>
      </c>
    </row>
    <row r="2042" spans="2:11" x14ac:dyDescent="0.3">
      <c r="B2042" s="5" t="str">
        <f t="shared" si="1290"/>
        <v>SPS3</v>
      </c>
      <c r="C2042" s="5" t="str">
        <f t="shared" si="1289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1.2239274772723E-5</v>
      </c>
      <c r="J2042" s="7" cm="1">
        <f t="array" ref="J2042">SUMPRODUCT(("SUP_H2NGA"=[1]OUT_SyntheticFuels!$C$4:$C$1000)*1,("Var_cap"=[1]OUT_SyntheticFuels!$B$4:$B$1000)*1,[1]OUT_SyntheticFuels!I$4:I$1000)</f>
        <v>6.9567375673374428E-3</v>
      </c>
      <c r="K2042" s="7" cm="1">
        <f t="array" ref="K2042">SUMPRODUCT(("SUP_H2NGA"=[1]OUT_SyntheticFuels!$C$4:$C$1000)*1,("Var_cap"=[1]OUT_SyntheticFuels!$B$4:$B$1000)*1,[1]OUT_SyntheticFuels!J$4:J$1000)</f>
        <v>1.2068266279675536E-2</v>
      </c>
    </row>
    <row r="2043" spans="2:11" x14ac:dyDescent="0.3">
      <c r="B2043" s="5" t="str">
        <f t="shared" si="1290"/>
        <v>SPS3</v>
      </c>
      <c r="C2043" s="5" t="str">
        <f t="shared" si="1289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2.2489353831989801E-5</v>
      </c>
      <c r="J2043" s="7" cm="1">
        <f t="array" ref="J2043">SUMPRODUCT(("SUP_H2DSL"=[1]OUT_SyntheticFuels!$C$4:$C$1000)*1,("Var_cap"=[1]OUT_SyntheticFuels!$B$4:$B$1000)*1,[1]OUT_SyntheticFuels!I$4:I$1000)</f>
        <v>0.34625055541677846</v>
      </c>
      <c r="K2043" s="7" cm="1">
        <f t="array" ref="K2043">SUMPRODUCT(("SUP_H2DSL"=[1]OUT_SyntheticFuels!$C$4:$C$1000)*1,("Var_cap"=[1]OUT_SyntheticFuels!$B$4:$B$1000)*1,[1]OUT_SyntheticFuels!J$4:J$1000)</f>
        <v>0.86785786677034127</v>
      </c>
    </row>
    <row r="2044" spans="2:11" x14ac:dyDescent="0.3">
      <c r="B2044" s="5" t="str">
        <f t="shared" si="1290"/>
        <v>SPS3</v>
      </c>
      <c r="C2044" s="5" t="str">
        <f t="shared" si="1289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2.79829257974895E-5</v>
      </c>
      <c r="J2044" s="7" cm="1">
        <f t="array" ref="J2044">SUMPRODUCT(("SUP_H2GSL"=[1]OUT_SyntheticFuels!$C$4:$C$1000)*1,("Var_cap"=[1]OUT_SyntheticFuels!$B$4:$B$1000)*1,[1]OUT_SyntheticFuels!I$4:I$1000)</f>
        <v>0.64191637681681324</v>
      </c>
      <c r="K2044" s="7" cm="1">
        <f t="array" ref="K2044">SUMPRODUCT(("SUP_H2GSL"=[1]OUT_SyntheticFuels!$C$4:$C$1000)*1,("Var_cap"=[1]OUT_SyntheticFuels!$B$4:$B$1000)*1,[1]OUT_SyntheticFuels!J$4:J$1000)</f>
        <v>0.11311837720526197</v>
      </c>
    </row>
    <row r="2045" spans="2:11" x14ac:dyDescent="0.3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6" x14ac:dyDescent="0.3"/>
  <cols>
    <col min="2" max="2" width="36.59765625" bestFit="1" customWidth="1"/>
    <col min="3" max="3" width="9.3984375" bestFit="1" customWidth="1"/>
  </cols>
  <sheetData>
    <row r="2" spans="2:8" x14ac:dyDescent="0.3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3">
      <c r="B3" s="2" t="s">
        <v>1720</v>
      </c>
      <c r="C3" s="3">
        <f>SUM(C4:C7)</f>
        <v>717.34024043636691</v>
      </c>
      <c r="D3" s="3">
        <f t="shared" ref="D3:H3" si="0">SUM(D4:D7)</f>
        <v>703.77851081781932</v>
      </c>
      <c r="E3" s="3">
        <f t="shared" si="0"/>
        <v>667.19910958522576</v>
      </c>
      <c r="F3" s="3">
        <f t="shared" si="0"/>
        <v>534.63124364892815</v>
      </c>
      <c r="G3" s="3">
        <f t="shared" si="0"/>
        <v>485.14891070908584</v>
      </c>
      <c r="H3" s="3">
        <f t="shared" si="0"/>
        <v>430.79704675259654</v>
      </c>
    </row>
    <row r="4" spans="2:8" x14ac:dyDescent="0.3">
      <c r="B4" s="25" t="s">
        <v>1728</v>
      </c>
      <c r="C4" s="1">
        <f>'SPS3'!F761</f>
        <v>142.21802139986474</v>
      </c>
      <c r="D4" s="1">
        <f>'SPS3'!G761</f>
        <v>140.45395815356184</v>
      </c>
      <c r="E4" s="1">
        <f>'SPS3'!H761</f>
        <v>141.36776601289799</v>
      </c>
      <c r="F4" s="1">
        <f>'SPS3'!I761</f>
        <v>115.13813026904255</v>
      </c>
      <c r="G4" s="1">
        <f>'SPS3'!J761</f>
        <v>110.61618878538444</v>
      </c>
      <c r="H4" s="1">
        <f>'SPS3'!K761</f>
        <v>111.98097926515121</v>
      </c>
    </row>
    <row r="5" spans="2:8" x14ac:dyDescent="0.3">
      <c r="B5" s="25" t="s">
        <v>1729</v>
      </c>
      <c r="C5" s="1">
        <f>'SPS3'!F880</f>
        <v>140.10134185832825</v>
      </c>
      <c r="D5" s="1">
        <f>'SPS3'!G880</f>
        <v>137.01039718794786</v>
      </c>
      <c r="E5" s="1">
        <f>'SPS3'!H880</f>
        <v>127.10306763554281</v>
      </c>
      <c r="F5" s="1">
        <f>'SPS3'!I880</f>
        <v>114.2571801505527</v>
      </c>
      <c r="G5" s="1">
        <f>'SPS3'!J880</f>
        <v>95.88288045171798</v>
      </c>
      <c r="H5" s="1">
        <f>'SPS3'!K880</f>
        <v>80.608454808382703</v>
      </c>
    </row>
    <row r="6" spans="2:8" x14ac:dyDescent="0.3">
      <c r="B6" s="25" t="s">
        <v>1730</v>
      </c>
      <c r="C6" s="1">
        <f>'SPS3'!F970</f>
        <v>219.74119915216448</v>
      </c>
      <c r="D6" s="1">
        <f>'SPS3'!G970</f>
        <v>217.32679872949939</v>
      </c>
      <c r="E6" s="1">
        <f>'SPS3'!H970</f>
        <v>215.03485147384373</v>
      </c>
      <c r="F6" s="1">
        <f>'SPS3'!I970</f>
        <v>193.12364411420324</v>
      </c>
      <c r="G6" s="1">
        <f>'SPS3'!J970</f>
        <v>167.07966426480522</v>
      </c>
      <c r="H6" s="1">
        <f>'SPS3'!K970</f>
        <v>144.62354668694348</v>
      </c>
    </row>
    <row r="7" spans="2:8" x14ac:dyDescent="0.3">
      <c r="B7" s="25" t="s">
        <v>1731</v>
      </c>
      <c r="C7" s="1">
        <f>'SPS3'!F1134+'SPS3'!F1313+'SPS3'!F1397+'SPS3'!F1481+'SPS3'!F1488+'SPS3'!F1495+'SPS3'!F1544+'SPS3'!F1591+'SPS3'!F1638</f>
        <v>215.27967802600946</v>
      </c>
      <c r="D7" s="1">
        <f>'SPS3'!G1134+'SPS3'!G1313+'SPS3'!G1397+'SPS3'!G1481+'SPS3'!G1488+'SPS3'!G1495+'SPS3'!G1544+'SPS3'!G1591+'SPS3'!G1638</f>
        <v>208.98735674681026</v>
      </c>
      <c r="E7" s="1">
        <f>'SPS3'!H1134+'SPS3'!H1313+'SPS3'!H1397+'SPS3'!H1481+'SPS3'!H1488+'SPS3'!H1495+'SPS3'!H1544+'SPS3'!H1591+'SPS3'!H1638</f>
        <v>183.69342446294121</v>
      </c>
      <c r="F7" s="1">
        <f>'SPS3'!I1134+'SPS3'!I1313+'SPS3'!I1397+'SPS3'!I1481+'SPS3'!I1488+'SPS3'!I1495+'SPS3'!I1544+'SPS3'!I1591+'SPS3'!I1638</f>
        <v>112.11228911512966</v>
      </c>
      <c r="G7" s="1">
        <f>'SPS3'!J1134+'SPS3'!J1313+'SPS3'!J1397+'SPS3'!J1481+'SPS3'!J1488+'SPS3'!J1495+'SPS3'!J1544+'SPS3'!J1591+'SPS3'!J1638</f>
        <v>111.57017720717816</v>
      </c>
      <c r="H7" s="1">
        <f>'SPS3'!K1134+'SPS3'!K1313+'SPS3'!K1397+'SPS3'!K1481+'SPS3'!K1488+'SPS3'!K1495+'SPS3'!K1544+'SPS3'!K1591+'SPS3'!K1638</f>
        <v>93.58406599211915</v>
      </c>
    </row>
    <row r="8" spans="2:8" x14ac:dyDescent="0.3">
      <c r="B8" s="2" t="s">
        <v>1736</v>
      </c>
      <c r="C8" s="3">
        <f>SUM(C9:C12)</f>
        <v>509.9644714047335</v>
      </c>
      <c r="D8" s="3">
        <f t="shared" ref="D8:H8" si="1">SUM(D9:D12)</f>
        <v>503.13312410584501</v>
      </c>
      <c r="E8" s="3">
        <f t="shared" si="1"/>
        <v>553.34746785264997</v>
      </c>
      <c r="F8" s="3">
        <f t="shared" si="1"/>
        <v>514.08874722431722</v>
      </c>
      <c r="G8" s="3">
        <f t="shared" si="1"/>
        <v>491.44004096288677</v>
      </c>
      <c r="H8" s="3">
        <f t="shared" si="1"/>
        <v>468.49497152931701</v>
      </c>
    </row>
    <row r="9" spans="2:8" x14ac:dyDescent="0.3">
      <c r="B9" s="25" t="s">
        <v>1733</v>
      </c>
      <c r="C9" s="1">
        <f>'SPS3'!F289+'SPS3'!F407</f>
        <v>494.44359633635383</v>
      </c>
      <c r="D9" s="1">
        <f>'SPS3'!G289+'SPS3'!G407</f>
        <v>478.76547808021587</v>
      </c>
      <c r="E9" s="1">
        <f>'SPS3'!H289+'SPS3'!H407</f>
        <v>526.58422884504</v>
      </c>
      <c r="F9" s="1">
        <f>'SPS3'!I289+'SPS3'!I407</f>
        <v>475.45059608151928</v>
      </c>
      <c r="G9" s="1">
        <f>'SPS3'!J289+'SPS3'!J407</f>
        <v>428.70103952014426</v>
      </c>
      <c r="H9" s="1">
        <f>'SPS3'!K289+'SPS3'!K407</f>
        <v>381.39118824019147</v>
      </c>
    </row>
    <row r="10" spans="2:8" x14ac:dyDescent="0.3">
      <c r="B10" s="25" t="s">
        <v>1734</v>
      </c>
      <c r="C10" s="1">
        <f>'SPS3'!F588+'SPS3'!F602+'SPS3'!F642</f>
        <v>15.515750586912876</v>
      </c>
      <c r="D10" s="1">
        <f>'SPS3'!G588+'SPS3'!G602+'SPS3'!G642</f>
        <v>24.361625634270187</v>
      </c>
      <c r="E10" s="1">
        <f>'SPS3'!H588+'SPS3'!H602+'SPS3'!H642</f>
        <v>26.757318926641823</v>
      </c>
      <c r="F10" s="1">
        <f>'SPS3'!I588+'SPS3'!I602+'SPS3'!I642</f>
        <v>38.632410245846813</v>
      </c>
      <c r="G10" s="1">
        <f>'SPS3'!J588+'SPS3'!J602+'SPS3'!J642</f>
        <v>36.949171906957112</v>
      </c>
      <c r="H10" s="1">
        <f>'SPS3'!K588+'SPS3'!K602+'SPS3'!K642</f>
        <v>51.630232075160848</v>
      </c>
    </row>
    <row r="11" spans="2:8" x14ac:dyDescent="0.3">
      <c r="B11" s="25" t="s">
        <v>1732</v>
      </c>
      <c r="C11" s="1">
        <f>'SPS3'!F677</f>
        <v>5.1244814667777841E-3</v>
      </c>
      <c r="D11" s="1">
        <f>'SPS3'!G677</f>
        <v>6.0203913589759331E-3</v>
      </c>
      <c r="E11" s="1">
        <f>'SPS3'!H677</f>
        <v>5.9200809681408291E-3</v>
      </c>
      <c r="F11" s="1">
        <f>'SPS3'!I677</f>
        <v>5.7408969510869563E-3</v>
      </c>
      <c r="G11" s="1">
        <f>'SPS3'!J677</f>
        <v>25.789722003224128</v>
      </c>
      <c r="H11" s="1">
        <f>'SPS3'!K677</f>
        <v>35.470718314396159</v>
      </c>
    </row>
    <row r="12" spans="2:8" x14ac:dyDescent="0.3">
      <c r="B12" s="25" t="s">
        <v>1735</v>
      </c>
      <c r="C12" s="1">
        <f>'SPS3'!F1702</f>
        <v>0</v>
      </c>
      <c r="D12" s="1">
        <f>'SPS3'!G1702</f>
        <v>0</v>
      </c>
      <c r="E12" s="1">
        <f>'SPS3'!H1702</f>
        <v>0</v>
      </c>
      <c r="F12" s="1">
        <f>'SPS3'!I1702</f>
        <v>0</v>
      </c>
      <c r="G12" s="1">
        <f>'SPS3'!J1702</f>
        <v>1.0753256121530035E-4</v>
      </c>
      <c r="H12" s="1">
        <f>'SPS3'!K1702</f>
        <v>2.8328995685596055E-3</v>
      </c>
    </row>
    <row r="13" spans="2:8" x14ac:dyDescent="0.3">
      <c r="B13" s="2" t="s">
        <v>1737</v>
      </c>
      <c r="C13" s="3">
        <f>'SPS3'!F2+'SPS3'!F20-'SPS3'!F55</f>
        <v>964.39707582225003</v>
      </c>
      <c r="D13" s="3">
        <f>'SPS3'!G2+'SPS3'!G20-'SPS3'!G55</f>
        <v>962.54792807314232</v>
      </c>
      <c r="E13" s="3">
        <f>'SPS3'!H2+'SPS3'!H20-'SPS3'!H55</f>
        <v>948.1861411794863</v>
      </c>
      <c r="F13" s="3">
        <f>'SPS3'!I2+'SPS3'!I20-'SPS3'!I55</f>
        <v>763.5681679769782</v>
      </c>
      <c r="G13" s="3">
        <f>'SPS3'!J2+'SPS3'!J20-'SPS3'!J55</f>
        <v>654.99697973499428</v>
      </c>
      <c r="H13" s="3">
        <f>'SPS3'!K2+'SPS3'!K20-'SPS3'!K55</f>
        <v>539.02965808454985</v>
      </c>
    </row>
    <row r="14" spans="2:8" x14ac:dyDescent="0.3">
      <c r="B14" s="25" t="s">
        <v>1738</v>
      </c>
      <c r="C14" s="1">
        <f>'SPS3'!F2</f>
        <v>299.5480319238049</v>
      </c>
      <c r="D14" s="1">
        <f>'SPS3'!G2</f>
        <v>294.3968536964536</v>
      </c>
      <c r="E14" s="1">
        <f>'SPS3'!H2</f>
        <v>387.86769459326831</v>
      </c>
      <c r="F14" s="1">
        <f>'SPS3'!I2</f>
        <v>383.76243204967022</v>
      </c>
      <c r="G14" s="1">
        <f>'SPS3'!J2</f>
        <v>443.75765242241454</v>
      </c>
      <c r="H14" s="1">
        <f>'SPS3'!K2</f>
        <v>489.22073326856656</v>
      </c>
    </row>
    <row r="15" spans="2:8" x14ac:dyDescent="0.3">
      <c r="B15" s="25" t="s">
        <v>19</v>
      </c>
      <c r="C15" s="1">
        <f>'SPS3'!F20</f>
        <v>782.01907649421855</v>
      </c>
      <c r="D15" s="1">
        <f>'SPS3'!G20</f>
        <v>703.94563039153491</v>
      </c>
      <c r="E15" s="1">
        <f>'SPS3'!H20</f>
        <v>613.68494757854353</v>
      </c>
      <c r="F15" s="1">
        <f>'SPS3'!I20</f>
        <v>403.85572290782659</v>
      </c>
      <c r="G15" s="1">
        <f>'SPS3'!J20</f>
        <v>224.93087156641769</v>
      </c>
      <c r="H15" s="1">
        <f>'SPS3'!K20</f>
        <v>63.958357073910037</v>
      </c>
    </row>
    <row r="16" spans="2:8" x14ac:dyDescent="0.3">
      <c r="B16" s="25" t="s">
        <v>24</v>
      </c>
      <c r="C16" s="1">
        <f>'SPS3'!F55</f>
        <v>117.17003259577351</v>
      </c>
      <c r="D16" s="1">
        <f>'SPS3'!G55</f>
        <v>35.794556014846144</v>
      </c>
      <c r="E16" s="1">
        <f>'SPS3'!H55</f>
        <v>53.366500992325498</v>
      </c>
      <c r="F16" s="1">
        <f>'SPS3'!I55</f>
        <v>24.049986980518579</v>
      </c>
      <c r="G16" s="1">
        <f>'SPS3'!J55</f>
        <v>13.691544253837892</v>
      </c>
      <c r="H16" s="1">
        <f>'SPS3'!K55</f>
        <v>14.149432257926724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5" ma:contentTypeDescription="Create a new document." ma:contentTypeScope="" ma:versionID="e0c4c809cdd1f4d681ffe254c15b0eea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474854dce0ec48aabc248446e7a68ac4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Props1.xml><?xml version="1.0" encoding="utf-8"?>
<ds:datastoreItem xmlns:ds="http://schemas.openxmlformats.org/officeDocument/2006/customXml" ds:itemID="{9F7A4B78-264D-49CF-8947-EF61174ABFD1}"/>
</file>

<file path=customXml/itemProps2.xml><?xml version="1.0" encoding="utf-8"?>
<ds:datastoreItem xmlns:ds="http://schemas.openxmlformats.org/officeDocument/2006/customXml" ds:itemID="{C613BEAC-1635-4AF5-B6C4-FE9F1258F95C}"/>
</file>

<file path=customXml/itemProps3.xml><?xml version="1.0" encoding="utf-8"?>
<ds:datastoreItem xmlns:ds="http://schemas.openxmlformats.org/officeDocument/2006/customXml" ds:itemID="{6392BAC8-0341-43E5-85B0-87411097E670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SPS3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Panos Evangelos</cp:lastModifiedBy>
  <dcterms:created xsi:type="dcterms:W3CDTF">2023-01-16T15:31:56Z</dcterms:created>
  <dcterms:modified xsi:type="dcterms:W3CDTF">2025-05-23T08:31:19Z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</Properties>
</file>