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ThisWorkbook"/>
  <mc:AlternateContent xmlns:mc="http://schemas.openxmlformats.org/markup-compatibility/2006">
    <mc:Choice Requires="x15">
      <x15ac:absPath xmlns:x15ac="http://schemas.microsoft.com/office/spreadsheetml/2010/11/ac" url="C:\Users\bhutr\OneDrive - EDHEC\Rupinder Kalia\Research\Stocks\UPL\"/>
    </mc:Choice>
  </mc:AlternateContent>
  <xr:revisionPtr revIDLastSave="0" documentId="13_ncr:1_{3F1560D4-EF2C-4922-9F63-29E7BC824F37}" xr6:coauthVersionLast="45" xr6:coauthVersionMax="45" xr10:uidLastSave="{00000000-0000-0000-0000-000000000000}"/>
  <bookViews>
    <workbookView xWindow="-108" yWindow="-108" windowWidth="23256" windowHeight="12576" activeTab="1" xr2:uid="{00000000-000D-0000-FFFF-FFFF00000000}"/>
  </bookViews>
  <sheets>
    <sheet name="Instructions" sheetId="16" r:id="rId1"/>
    <sheet name="Summary" sheetId="15" r:id="rId2"/>
    <sheet name="Research summary" sheetId="21" r:id="rId3"/>
    <sheet name="Balance Sheet" sheetId="2" r:id="rId4"/>
    <sheet name="Profit &amp; Loss" sheetId="1" r:id="rId5"/>
    <sheet name="Cash Flow" sheetId="4" r:id="rId6"/>
    <sheet name="Key Ratios" sheetId="17" r:id="rId7"/>
    <sheet name="Charts" sheetId="18" r:id="rId8"/>
    <sheet name="Common Size Analysis" sheetId="13" r:id="rId9"/>
    <sheet name="DCF Calc" sheetId="9" r:id="rId10"/>
    <sheet name="Expected Returns" sheetId="12" r:id="rId11"/>
    <sheet name="EBITDA Multiple" sheetId="20" r:id="rId12"/>
    <sheet name="Intrinsic Values" sheetId="10" r:id="rId13"/>
    <sheet name="Quarters" sheetId="3" r:id="rId14"/>
    <sheet name="Data Sheet" sheetId="6" r:id="rId15"/>
  </sheets>
  <definedNames>
    <definedName name="UPDATE">'Data Sheet'!$E$1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0" l="1"/>
  <c r="B10" i="12"/>
  <c r="B17" i="20" l="1"/>
  <c r="B28" i="20" s="1"/>
  <c r="M12" i="9" l="1"/>
  <c r="M33" i="9" s="1"/>
  <c r="B13" i="21" l="1"/>
  <c r="B12" i="21"/>
  <c r="B14" i="21" s="1"/>
  <c r="B31" i="20" l="1"/>
  <c r="B20" i="20"/>
  <c r="K3" i="20"/>
  <c r="J3" i="20"/>
  <c r="I3" i="20"/>
  <c r="H3" i="20"/>
  <c r="G3" i="20"/>
  <c r="F3" i="20"/>
  <c r="E3" i="20"/>
  <c r="D3" i="20"/>
  <c r="C3" i="20"/>
  <c r="B3" i="20"/>
  <c r="A2" i="20"/>
  <c r="A28" i="9"/>
  <c r="H28" i="9" s="1"/>
  <c r="D39" i="9"/>
  <c r="K41" i="9" s="1"/>
  <c r="D30" i="9"/>
  <c r="D9" i="9"/>
  <c r="B29" i="12"/>
  <c r="K26" i="4"/>
  <c r="K11" i="4" s="1"/>
  <c r="J26" i="4"/>
  <c r="J11" i="4" s="1"/>
  <c r="I26" i="4"/>
  <c r="I11" i="4" s="1"/>
  <c r="H26" i="4"/>
  <c r="H11" i="4" s="1"/>
  <c r="G26" i="4"/>
  <c r="G11" i="4" s="1"/>
  <c r="F26" i="4"/>
  <c r="F11" i="4" s="1"/>
  <c r="E26" i="4"/>
  <c r="E11" i="4" s="1"/>
  <c r="D26" i="4"/>
  <c r="D11" i="4" s="1"/>
  <c r="C26" i="4"/>
  <c r="C11" i="4" s="1"/>
  <c r="B26" i="4"/>
  <c r="B11" i="4" s="1"/>
  <c r="K7" i="17" l="1"/>
  <c r="J7" i="17"/>
  <c r="I7" i="17"/>
  <c r="H7" i="17"/>
  <c r="G7" i="17"/>
  <c r="F7" i="17"/>
  <c r="E7" i="17"/>
  <c r="D7" i="17"/>
  <c r="C7" i="17"/>
  <c r="A53" i="18"/>
  <c r="A52" i="18"/>
  <c r="A51" i="18"/>
  <c r="B6" i="4"/>
  <c r="C6" i="4"/>
  <c r="D6" i="4"/>
  <c r="E6" i="4"/>
  <c r="F6" i="4"/>
  <c r="G6" i="4"/>
  <c r="H6" i="4"/>
  <c r="I6" i="4"/>
  <c r="J6" i="4"/>
  <c r="K6" i="4"/>
  <c r="L6" i="4" l="1"/>
  <c r="A22" i="17"/>
  <c r="A21" i="17"/>
  <c r="A17" i="17"/>
  <c r="A16" i="17"/>
  <c r="A15" i="17"/>
  <c r="B5" i="15" l="1"/>
  <c r="B3" i="15"/>
  <c r="B13" i="15"/>
  <c r="B8" i="10" l="1"/>
  <c r="D5" i="10" s="1"/>
  <c r="C21" i="15"/>
  <c r="B21" i="15"/>
  <c r="F4" i="13"/>
  <c r="D4" i="10" l="1"/>
  <c r="D7" i="10"/>
  <c r="D6" i="10"/>
  <c r="K11" i="13"/>
  <c r="J11" i="13"/>
  <c r="I11" i="13"/>
  <c r="H11" i="13"/>
  <c r="G11" i="13"/>
  <c r="F11" i="13"/>
  <c r="E11" i="13"/>
  <c r="D11" i="13"/>
  <c r="C11" i="13"/>
  <c r="B11" i="13"/>
  <c r="K34" i="13"/>
  <c r="J34" i="13"/>
  <c r="I34" i="13"/>
  <c r="H34" i="13"/>
  <c r="G34" i="13"/>
  <c r="F34" i="13"/>
  <c r="E34" i="13"/>
  <c r="D34" i="13"/>
  <c r="C34" i="13"/>
  <c r="B34" i="13"/>
  <c r="K33" i="13"/>
  <c r="J33" i="13"/>
  <c r="I33" i="13"/>
  <c r="H33" i="13"/>
  <c r="G33" i="13"/>
  <c r="F33" i="13"/>
  <c r="E33" i="13"/>
  <c r="D33" i="13"/>
  <c r="C33" i="13"/>
  <c r="B33" i="13"/>
  <c r="K32" i="13"/>
  <c r="J32" i="13"/>
  <c r="I32" i="13"/>
  <c r="H32" i="13"/>
  <c r="G32" i="13"/>
  <c r="F32" i="13"/>
  <c r="E32" i="13"/>
  <c r="D32" i="13"/>
  <c r="C32" i="13"/>
  <c r="B32" i="13"/>
  <c r="K30" i="13"/>
  <c r="J30" i="13"/>
  <c r="I30" i="13"/>
  <c r="H30" i="13"/>
  <c r="G30" i="13"/>
  <c r="F30" i="13"/>
  <c r="E30" i="13"/>
  <c r="D30" i="13"/>
  <c r="C30" i="13"/>
  <c r="B30" i="13"/>
  <c r="K29" i="13"/>
  <c r="J29" i="13"/>
  <c r="I29" i="13"/>
  <c r="H29" i="13"/>
  <c r="G29" i="13"/>
  <c r="F29" i="13"/>
  <c r="E29" i="13"/>
  <c r="D29" i="13"/>
  <c r="C29" i="13"/>
  <c r="B29" i="13"/>
  <c r="K28" i="13"/>
  <c r="J28" i="13"/>
  <c r="I28" i="13"/>
  <c r="H28" i="13"/>
  <c r="G28" i="13"/>
  <c r="F28" i="13"/>
  <c r="E28" i="13"/>
  <c r="D28" i="13"/>
  <c r="C28" i="13"/>
  <c r="B28" i="13"/>
  <c r="K27" i="13"/>
  <c r="J27" i="13"/>
  <c r="I27" i="13"/>
  <c r="H27" i="13"/>
  <c r="G27" i="13"/>
  <c r="F27" i="13"/>
  <c r="E27" i="13"/>
  <c r="D27" i="13"/>
  <c r="C27" i="13"/>
  <c r="B27"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0" i="13"/>
  <c r="J10" i="13"/>
  <c r="I10" i="13"/>
  <c r="H10" i="13"/>
  <c r="G10" i="13"/>
  <c r="F10" i="13"/>
  <c r="E10" i="13"/>
  <c r="D10" i="13"/>
  <c r="C10" i="13"/>
  <c r="B10"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5" i="13"/>
  <c r="J5" i="13"/>
  <c r="I5" i="13"/>
  <c r="H5" i="13"/>
  <c r="G5" i="13"/>
  <c r="F5" i="13"/>
  <c r="E5" i="13"/>
  <c r="D5" i="13"/>
  <c r="C5" i="13"/>
  <c r="B5" i="13"/>
  <c r="K4" i="13"/>
  <c r="J4" i="13"/>
  <c r="I4" i="13"/>
  <c r="H4" i="13"/>
  <c r="G4" i="13"/>
  <c r="E4" i="13"/>
  <c r="D4" i="13"/>
  <c r="C4" i="13"/>
  <c r="B4" i="13"/>
  <c r="B19" i="12" l="1"/>
  <c r="B11" i="12"/>
  <c r="K4" i="12"/>
  <c r="J4" i="12"/>
  <c r="J5" i="12" s="1"/>
  <c r="I4" i="12"/>
  <c r="I5" i="12" s="1"/>
  <c r="H4" i="12"/>
  <c r="H5" i="12" s="1"/>
  <c r="G4" i="12"/>
  <c r="G5" i="12" s="1"/>
  <c r="F4" i="12"/>
  <c r="F5" i="12" s="1"/>
  <c r="E4" i="12"/>
  <c r="E5" i="12" s="1"/>
  <c r="D4" i="12"/>
  <c r="D5" i="12" s="1"/>
  <c r="C4" i="12"/>
  <c r="C5" i="12" s="1"/>
  <c r="B4" i="12"/>
  <c r="B5" i="12" s="1"/>
  <c r="K3" i="12"/>
  <c r="J3" i="12"/>
  <c r="I3" i="12"/>
  <c r="H3" i="12"/>
  <c r="G3" i="12"/>
  <c r="F3" i="12"/>
  <c r="E3" i="12"/>
  <c r="D3" i="12"/>
  <c r="C3" i="12"/>
  <c r="B3" i="12"/>
  <c r="A2" i="12"/>
  <c r="N4" i="12" l="1"/>
  <c r="K5" i="12"/>
  <c r="M4" i="12"/>
  <c r="L4" i="12"/>
  <c r="B16" i="12" l="1"/>
  <c r="B26" i="12"/>
  <c r="A2" i="10"/>
  <c r="A7" i="9" l="1"/>
  <c r="H7" i="9" s="1"/>
  <c r="D18" i="9"/>
  <c r="K20" i="9" s="1"/>
  <c r="K11" i="1" l="1"/>
  <c r="J11" i="1"/>
  <c r="I11" i="1"/>
  <c r="H11" i="1"/>
  <c r="G11" i="1"/>
  <c r="F11" i="1"/>
  <c r="E11" i="1"/>
  <c r="D11" i="1"/>
  <c r="C11" i="1"/>
  <c r="K10" i="1"/>
  <c r="J10" i="1"/>
  <c r="I10" i="1"/>
  <c r="H10" i="1"/>
  <c r="G10" i="1"/>
  <c r="F10" i="1"/>
  <c r="E10" i="1"/>
  <c r="D10" i="1"/>
  <c r="C10" i="1"/>
  <c r="K9" i="1"/>
  <c r="J9" i="1"/>
  <c r="I9" i="1"/>
  <c r="H9" i="1"/>
  <c r="G9" i="1"/>
  <c r="F9" i="1"/>
  <c r="E9" i="1"/>
  <c r="D9" i="1"/>
  <c r="C9" i="1"/>
  <c r="K8" i="1"/>
  <c r="J8" i="1"/>
  <c r="I8" i="1"/>
  <c r="H8" i="1"/>
  <c r="G8" i="1"/>
  <c r="F8" i="1"/>
  <c r="E8" i="1"/>
  <c r="D8" i="1"/>
  <c r="C8" i="1"/>
  <c r="K7" i="1"/>
  <c r="J7" i="1"/>
  <c r="I7" i="1"/>
  <c r="H7" i="1"/>
  <c r="G7" i="1"/>
  <c r="F7" i="1"/>
  <c r="E7" i="1"/>
  <c r="D7" i="1"/>
  <c r="C7" i="1"/>
  <c r="B11" i="1"/>
  <c r="B10" i="1"/>
  <c r="B9" i="1"/>
  <c r="B8" i="1"/>
  <c r="B7" i="1"/>
  <c r="B14" i="3" l="1"/>
  <c r="C14" i="3"/>
  <c r="D14" i="3"/>
  <c r="E14" i="3"/>
  <c r="F14" i="3"/>
  <c r="G14" i="3"/>
  <c r="H14" i="3"/>
  <c r="I14" i="3"/>
  <c r="J14" i="3"/>
  <c r="K14" i="3"/>
  <c r="C7" i="3" l="1"/>
  <c r="D7" i="3"/>
  <c r="E7" i="3"/>
  <c r="F7" i="3"/>
  <c r="G7" i="3"/>
  <c r="H7" i="3"/>
  <c r="I7" i="3"/>
  <c r="J7" i="3"/>
  <c r="K7" i="3"/>
  <c r="B7" i="3"/>
  <c r="C6" i="1"/>
  <c r="D6" i="1"/>
  <c r="E6" i="1"/>
  <c r="F6" i="1"/>
  <c r="G6" i="1"/>
  <c r="H6" i="1"/>
  <c r="I6" i="1"/>
  <c r="J6" i="1"/>
  <c r="K6" i="1"/>
  <c r="B6" i="1"/>
  <c r="K93" i="6"/>
  <c r="C93" i="6"/>
  <c r="D93" i="6"/>
  <c r="E93" i="6"/>
  <c r="F93" i="6"/>
  <c r="G93" i="6"/>
  <c r="H93" i="6"/>
  <c r="I93" i="6"/>
  <c r="J93" i="6"/>
  <c r="B93" i="6"/>
  <c r="B6" i="6" l="1"/>
  <c r="B6" i="15" s="1"/>
  <c r="C18" i="2"/>
  <c r="D18" i="2"/>
  <c r="E18" i="2"/>
  <c r="F18" i="2"/>
  <c r="G18" i="2"/>
  <c r="H18" i="2"/>
  <c r="I18" i="2"/>
  <c r="J18" i="2"/>
  <c r="K18" i="2"/>
  <c r="C19" i="2"/>
  <c r="D19" i="2"/>
  <c r="E19" i="2"/>
  <c r="F19" i="2"/>
  <c r="G19" i="2"/>
  <c r="H19" i="2"/>
  <c r="I19" i="2"/>
  <c r="J19" i="2"/>
  <c r="K19" i="2"/>
  <c r="B18" i="2"/>
  <c r="C4" i="2"/>
  <c r="D4" i="2"/>
  <c r="E4" i="2"/>
  <c r="F4" i="2"/>
  <c r="G4" i="2"/>
  <c r="H4" i="2"/>
  <c r="I4" i="2"/>
  <c r="J4" i="2"/>
  <c r="K4" i="2"/>
  <c r="C5" i="2"/>
  <c r="D5" i="2"/>
  <c r="E5" i="2"/>
  <c r="F5" i="2"/>
  <c r="G5" i="2"/>
  <c r="H5" i="2"/>
  <c r="I5" i="2"/>
  <c r="J5" i="2"/>
  <c r="K5" i="2"/>
  <c r="C6" i="2"/>
  <c r="C23" i="2" s="1"/>
  <c r="D6" i="2"/>
  <c r="D23" i="2" s="1"/>
  <c r="E6" i="2"/>
  <c r="E23" i="2" s="1"/>
  <c r="F6" i="2"/>
  <c r="F23" i="2" s="1"/>
  <c r="G6" i="2"/>
  <c r="G23" i="2" s="1"/>
  <c r="H6" i="2"/>
  <c r="H23" i="2" s="1"/>
  <c r="I6" i="2"/>
  <c r="I23" i="2" s="1"/>
  <c r="J6" i="2"/>
  <c r="J23" i="2" s="1"/>
  <c r="K6" i="2"/>
  <c r="K23" i="2" s="1"/>
  <c r="K18" i="9" s="1"/>
  <c r="K39" i="9" s="1"/>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B14" i="2"/>
  <c r="B5" i="2"/>
  <c r="B4" i="2"/>
  <c r="C4" i="4"/>
  <c r="D4" i="4"/>
  <c r="E4" i="4"/>
  <c r="F4" i="4"/>
  <c r="G4" i="4"/>
  <c r="H4" i="4"/>
  <c r="I4" i="4"/>
  <c r="J4" i="4"/>
  <c r="K4" i="4"/>
  <c r="C7" i="4"/>
  <c r="D7" i="4"/>
  <c r="E7" i="4"/>
  <c r="F7" i="4"/>
  <c r="G7" i="4"/>
  <c r="H7" i="4"/>
  <c r="I7" i="4"/>
  <c r="J7" i="4"/>
  <c r="K7" i="4"/>
  <c r="C8" i="4"/>
  <c r="D8" i="4"/>
  <c r="E8" i="4"/>
  <c r="F8" i="4"/>
  <c r="G8" i="4"/>
  <c r="H8" i="4"/>
  <c r="I8" i="4"/>
  <c r="J8" i="4"/>
  <c r="K8" i="4"/>
  <c r="C4" i="3"/>
  <c r="D4" i="3"/>
  <c r="E4" i="3"/>
  <c r="F4" i="3"/>
  <c r="G4" i="3"/>
  <c r="H4" i="3"/>
  <c r="I4" i="3"/>
  <c r="J4" i="3"/>
  <c r="K4" i="3"/>
  <c r="C6" i="3"/>
  <c r="D6" i="3"/>
  <c r="E6" i="3"/>
  <c r="F6" i="3"/>
  <c r="G6" i="3"/>
  <c r="H6" i="3"/>
  <c r="I6" i="3"/>
  <c r="J6" i="3"/>
  <c r="K6" i="3"/>
  <c r="C8" i="3"/>
  <c r="D8" i="3"/>
  <c r="E8" i="3"/>
  <c r="F8" i="3"/>
  <c r="G8" i="3"/>
  <c r="H8" i="3"/>
  <c r="I8" i="3"/>
  <c r="J8" i="3"/>
  <c r="K8" i="3"/>
  <c r="C9" i="3"/>
  <c r="D9" i="3"/>
  <c r="E9" i="3"/>
  <c r="F9" i="3"/>
  <c r="G9" i="3"/>
  <c r="H9" i="3"/>
  <c r="I9" i="3"/>
  <c r="J9" i="3"/>
  <c r="K9" i="3"/>
  <c r="C10" i="3"/>
  <c r="D10" i="3"/>
  <c r="E10" i="3"/>
  <c r="F10" i="3"/>
  <c r="G10" i="3"/>
  <c r="H10" i="3"/>
  <c r="I10" i="3"/>
  <c r="J10" i="3"/>
  <c r="K10" i="3"/>
  <c r="C11" i="3"/>
  <c r="D11" i="3"/>
  <c r="E11" i="3"/>
  <c r="F11" i="3"/>
  <c r="G11" i="3"/>
  <c r="H11" i="3"/>
  <c r="I11" i="3"/>
  <c r="J11" i="3"/>
  <c r="K11" i="3"/>
  <c r="C15" i="3"/>
  <c r="D15" i="3"/>
  <c r="E15" i="3"/>
  <c r="F15" i="3"/>
  <c r="G15" i="3"/>
  <c r="G16" i="3" s="1"/>
  <c r="H15" i="3"/>
  <c r="H16" i="3" s="1"/>
  <c r="I15" i="3"/>
  <c r="J15" i="3"/>
  <c r="K15" i="3"/>
  <c r="B6" i="3"/>
  <c r="C32" i="1"/>
  <c r="D32" i="1"/>
  <c r="E32" i="1"/>
  <c r="F32" i="1"/>
  <c r="G32" i="1"/>
  <c r="H32" i="1"/>
  <c r="I32" i="1"/>
  <c r="J32" i="1"/>
  <c r="K32" i="1"/>
  <c r="B32" i="1"/>
  <c r="C4" i="1"/>
  <c r="D4" i="1"/>
  <c r="E4" i="1"/>
  <c r="F4" i="1"/>
  <c r="G4" i="1"/>
  <c r="H4" i="1"/>
  <c r="I4" i="1"/>
  <c r="J4" i="1"/>
  <c r="K4" i="1"/>
  <c r="C14" i="1"/>
  <c r="D14" i="1"/>
  <c r="E14" i="1"/>
  <c r="F14" i="1"/>
  <c r="F15" i="1" s="1"/>
  <c r="G14" i="1"/>
  <c r="H14" i="1"/>
  <c r="I14" i="1"/>
  <c r="J14" i="1"/>
  <c r="K14" i="1"/>
  <c r="C17" i="1"/>
  <c r="D17" i="1"/>
  <c r="E17" i="1"/>
  <c r="F17" i="1"/>
  <c r="G17" i="1"/>
  <c r="H17" i="1"/>
  <c r="I17" i="1"/>
  <c r="J17" i="1"/>
  <c r="K17" i="1"/>
  <c r="C18" i="1"/>
  <c r="D18" i="1"/>
  <c r="E18" i="1"/>
  <c r="F18" i="1"/>
  <c r="G18" i="1"/>
  <c r="H18" i="1"/>
  <c r="I18" i="1"/>
  <c r="J18" i="1"/>
  <c r="K18" i="1"/>
  <c r="C23" i="1"/>
  <c r="D23" i="1"/>
  <c r="E23" i="1"/>
  <c r="F23" i="1"/>
  <c r="G23" i="1"/>
  <c r="H23" i="1"/>
  <c r="I23" i="1"/>
  <c r="J23" i="1"/>
  <c r="K23" i="1"/>
  <c r="C31" i="1"/>
  <c r="C33" i="1" s="1"/>
  <c r="D31" i="1"/>
  <c r="D33" i="1" s="1"/>
  <c r="E31" i="1"/>
  <c r="E33" i="1" s="1"/>
  <c r="F31" i="1"/>
  <c r="F33" i="1" s="1"/>
  <c r="G31" i="1"/>
  <c r="G33" i="1" s="1"/>
  <c r="H31" i="1"/>
  <c r="H33" i="1" s="1"/>
  <c r="I31" i="1"/>
  <c r="I33" i="1" s="1"/>
  <c r="J31" i="1"/>
  <c r="J33" i="1" s="1"/>
  <c r="K31" i="1"/>
  <c r="K33" i="1" s="1"/>
  <c r="B31" i="1"/>
  <c r="B33" i="1" s="1"/>
  <c r="B14" i="1"/>
  <c r="B4" i="1"/>
  <c r="A2" i="1"/>
  <c r="E1" i="6"/>
  <c r="H74" i="18" l="1"/>
  <c r="F74" i="18"/>
  <c r="I74" i="18"/>
  <c r="E74" i="18"/>
  <c r="D12" i="3"/>
  <c r="D74" i="18"/>
  <c r="J16" i="3"/>
  <c r="C12" i="3"/>
  <c r="C74" i="18"/>
  <c r="I16" i="3"/>
  <c r="G5" i="3"/>
  <c r="J74" i="18"/>
  <c r="K35" i="1"/>
  <c r="K24" i="2"/>
  <c r="K12" i="4" s="1"/>
  <c r="J35" i="1"/>
  <c r="I35" i="1"/>
  <c r="I24" i="2"/>
  <c r="I12" i="4" s="1"/>
  <c r="I75" i="18" s="1"/>
  <c r="H35" i="1"/>
  <c r="G35" i="1"/>
  <c r="H24" i="2"/>
  <c r="F35" i="1"/>
  <c r="G24" i="2"/>
  <c r="G12" i="4" s="1"/>
  <c r="E35" i="1"/>
  <c r="F24" i="2"/>
  <c r="F12" i="4" s="1"/>
  <c r="F75" i="18" s="1"/>
  <c r="D35" i="1"/>
  <c r="D24" i="2"/>
  <c r="C35" i="1"/>
  <c r="B7" i="15"/>
  <c r="P5" i="9" s="1"/>
  <c r="J15" i="1"/>
  <c r="J24" i="2"/>
  <c r="J12" i="4" s="1"/>
  <c r="E24" i="2"/>
  <c r="D19" i="17"/>
  <c r="C19" i="17"/>
  <c r="H19" i="17"/>
  <c r="K19" i="17"/>
  <c r="D12" i="1"/>
  <c r="D16" i="1" s="1"/>
  <c r="D68" i="18"/>
  <c r="K12" i="1"/>
  <c r="K68" i="18"/>
  <c r="J12" i="1"/>
  <c r="J68" i="18"/>
  <c r="G12" i="3"/>
  <c r="G5" i="4"/>
  <c r="G8" i="17" s="1"/>
  <c r="G74" i="18"/>
  <c r="J19" i="17"/>
  <c r="C12" i="1"/>
  <c r="C68" i="18"/>
  <c r="H15" i="1"/>
  <c r="I12" i="1"/>
  <c r="I68" i="18"/>
  <c r="F12" i="3"/>
  <c r="K5" i="3"/>
  <c r="I19" i="17"/>
  <c r="A2" i="2"/>
  <c r="A2" i="17"/>
  <c r="B12" i="1"/>
  <c r="B16" i="1" s="1"/>
  <c r="B4" i="20" s="1"/>
  <c r="B5" i="20" s="1"/>
  <c r="B68" i="18"/>
  <c r="H12" i="1"/>
  <c r="H68" i="18"/>
  <c r="J5" i="3"/>
  <c r="G12" i="1"/>
  <c r="G16" i="1" s="1"/>
  <c r="G68" i="18"/>
  <c r="K16" i="3"/>
  <c r="I5" i="3"/>
  <c r="G19" i="17"/>
  <c r="F12" i="1"/>
  <c r="F68" i="18"/>
  <c r="H5" i="3"/>
  <c r="K5" i="4"/>
  <c r="K8" i="17" s="1"/>
  <c r="K74" i="18"/>
  <c r="F19" i="17"/>
  <c r="D15" i="1"/>
  <c r="E12" i="1"/>
  <c r="E68" i="18"/>
  <c r="E19" i="17"/>
  <c r="J5" i="4"/>
  <c r="J8" i="17" s="1"/>
  <c r="F5" i="4"/>
  <c r="F8" i="17" s="1"/>
  <c r="I5" i="4"/>
  <c r="I8" i="17" s="1"/>
  <c r="E5" i="4"/>
  <c r="E8" i="17" s="1"/>
  <c r="H5" i="4"/>
  <c r="H8" i="17" s="1"/>
  <c r="D5" i="4"/>
  <c r="D8" i="17" s="1"/>
  <c r="K15" i="1"/>
  <c r="G15" i="1"/>
  <c r="C15" i="1"/>
  <c r="H29" i="2"/>
  <c r="H18" i="17" s="1"/>
  <c r="D29" i="2"/>
  <c r="D18" i="17" s="1"/>
  <c r="K29" i="2"/>
  <c r="K18" i="17" s="1"/>
  <c r="G29" i="2"/>
  <c r="G18" i="17" s="1"/>
  <c r="C29" i="2"/>
  <c r="C18" i="17" s="1"/>
  <c r="B15" i="1"/>
  <c r="I15" i="1"/>
  <c r="E15" i="1"/>
  <c r="C39" i="1"/>
  <c r="D39" i="1"/>
  <c r="E39" i="1"/>
  <c r="B39" i="1"/>
  <c r="B11" i="15" s="1"/>
  <c r="F15" i="9"/>
  <c r="K13" i="3"/>
  <c r="K12" i="3"/>
  <c r="H13" i="3"/>
  <c r="H12" i="3"/>
  <c r="J13" i="3"/>
  <c r="J12" i="3"/>
  <c r="J29" i="2"/>
  <c r="J18" i="17" s="1"/>
  <c r="F29" i="2"/>
  <c r="F18" i="17" s="1"/>
  <c r="I13" i="3"/>
  <c r="I12" i="3"/>
  <c r="E12" i="3"/>
  <c r="I29" i="2"/>
  <c r="I18" i="17" s="1"/>
  <c r="E29" i="2"/>
  <c r="E18" i="17" s="1"/>
  <c r="G13" i="3"/>
  <c r="F5" i="1"/>
  <c r="F4" i="17" s="1"/>
  <c r="E62" i="18" s="1"/>
  <c r="F9" i="4"/>
  <c r="F28" i="2"/>
  <c r="F17" i="17" s="1"/>
  <c r="I28" i="2"/>
  <c r="I17" i="17" s="1"/>
  <c r="I9" i="4"/>
  <c r="E28" i="2"/>
  <c r="E17" i="17" s="1"/>
  <c r="E9" i="4"/>
  <c r="H28" i="2"/>
  <c r="H17" i="17" s="1"/>
  <c r="H9" i="4"/>
  <c r="D5" i="1"/>
  <c r="D4" i="17" s="1"/>
  <c r="C62" i="18" s="1"/>
  <c r="D28" i="2"/>
  <c r="D17" i="17" s="1"/>
  <c r="D9" i="4"/>
  <c r="J28" i="2"/>
  <c r="J17" i="17" s="1"/>
  <c r="J9" i="4"/>
  <c r="K28" i="2"/>
  <c r="K17" i="17" s="1"/>
  <c r="K9" i="4"/>
  <c r="G28" i="2"/>
  <c r="G17" i="17" s="1"/>
  <c r="G9" i="4"/>
  <c r="C28" i="2"/>
  <c r="C17" i="17" s="1"/>
  <c r="C9" i="4"/>
  <c r="E5" i="1"/>
  <c r="E4" i="17" s="1"/>
  <c r="D62" i="18" s="1"/>
  <c r="I5" i="1"/>
  <c r="I4" i="17" s="1"/>
  <c r="H62" i="18" s="1"/>
  <c r="H5" i="1"/>
  <c r="H4" i="17" s="1"/>
  <c r="G62" i="18" s="1"/>
  <c r="J5" i="1"/>
  <c r="J4" i="17" s="1"/>
  <c r="I62" i="18" s="1"/>
  <c r="K5" i="1"/>
  <c r="K4" i="17" s="1"/>
  <c r="J62" i="18" s="1"/>
  <c r="G5" i="1"/>
  <c r="G4" i="17" s="1"/>
  <c r="F62" i="18" s="1"/>
  <c r="C5" i="1"/>
  <c r="C4" i="17" s="1"/>
  <c r="B62" i="18" s="1"/>
  <c r="E1" i="3"/>
  <c r="H16" i="2"/>
  <c r="D16" i="2"/>
  <c r="D17" i="2" s="1"/>
  <c r="G16" i="2"/>
  <c r="G17" i="2" s="1"/>
  <c r="I16" i="2"/>
  <c r="I17" i="2" s="1"/>
  <c r="E16" i="2"/>
  <c r="E17" i="2" s="1"/>
  <c r="K16" i="2"/>
  <c r="C16" i="2"/>
  <c r="J16" i="2"/>
  <c r="F16" i="2"/>
  <c r="P6" i="9" l="1"/>
  <c r="P7" i="9" s="1"/>
  <c r="P10" i="9" s="1"/>
  <c r="G36" i="1"/>
  <c r="G4" i="20"/>
  <c r="G5" i="20" s="1"/>
  <c r="D36" i="1"/>
  <c r="D4" i="20"/>
  <c r="D5" i="20" s="1"/>
  <c r="J17" i="2"/>
  <c r="D12" i="4"/>
  <c r="F17" i="2"/>
  <c r="H17" i="2"/>
  <c r="K17" i="2"/>
  <c r="J75" i="18"/>
  <c r="H12" i="4"/>
  <c r="H75" i="18" s="1"/>
  <c r="E12" i="4"/>
  <c r="E75" i="18" s="1"/>
  <c r="D20" i="1"/>
  <c r="C20" i="1"/>
  <c r="C19" i="1" s="1"/>
  <c r="C20" i="17" s="1"/>
  <c r="C16" i="1"/>
  <c r="K20" i="1"/>
  <c r="K16" i="1"/>
  <c r="F20" i="1"/>
  <c r="F19" i="1" s="1"/>
  <c r="F20" i="17" s="1"/>
  <c r="F16" i="1"/>
  <c r="H20" i="1"/>
  <c r="H69" i="18" s="1"/>
  <c r="H16" i="1"/>
  <c r="E20" i="1"/>
  <c r="E22" i="1" s="1"/>
  <c r="E12" i="17" s="1"/>
  <c r="E52" i="18" s="1"/>
  <c r="E16" i="1"/>
  <c r="I20" i="1"/>
  <c r="I69" i="18" s="1"/>
  <c r="I16" i="1"/>
  <c r="G20" i="1"/>
  <c r="G69" i="18" s="1"/>
  <c r="J20" i="1"/>
  <c r="J19" i="1" s="1"/>
  <c r="J20" i="17" s="1"/>
  <c r="J16" i="1"/>
  <c r="L13" i="4"/>
  <c r="E31" i="2"/>
  <c r="E22" i="17" s="1"/>
  <c r="E69" i="18"/>
  <c r="I31" i="2"/>
  <c r="I22" i="17" s="1"/>
  <c r="K23" i="17"/>
  <c r="K75" i="18"/>
  <c r="C24" i="1"/>
  <c r="C29" i="1" s="1"/>
  <c r="C69" i="18"/>
  <c r="C31" i="2"/>
  <c r="C22" i="17" s="1"/>
  <c r="D24" i="1"/>
  <c r="D29" i="1" s="1"/>
  <c r="D18" i="4" s="1"/>
  <c r="D31" i="2"/>
  <c r="D22" i="17" s="1"/>
  <c r="D69" i="18"/>
  <c r="J31" i="2"/>
  <c r="J22" i="17" s="1"/>
  <c r="D19" i="1"/>
  <c r="D20" i="17" s="1"/>
  <c r="K31" i="2"/>
  <c r="K22" i="17" s="1"/>
  <c r="E23" i="17"/>
  <c r="F23" i="17"/>
  <c r="F16" i="4"/>
  <c r="H23" i="17"/>
  <c r="I23" i="17"/>
  <c r="J23" i="17"/>
  <c r="K14" i="4"/>
  <c r="K9" i="17" s="1"/>
  <c r="J14" i="4"/>
  <c r="J9" i="17" s="1"/>
  <c r="J16" i="4"/>
  <c r="J15" i="4"/>
  <c r="I15" i="4"/>
  <c r="F15" i="4"/>
  <c r="I16" i="4"/>
  <c r="K19" i="1"/>
  <c r="K20" i="17" s="1"/>
  <c r="E19" i="1"/>
  <c r="E20" i="17" s="1"/>
  <c r="K16" i="4"/>
  <c r="K15" i="4"/>
  <c r="K22" i="1"/>
  <c r="K12" i="17" s="1"/>
  <c r="K52" i="18" s="1"/>
  <c r="C40" i="1"/>
  <c r="C30" i="2"/>
  <c r="D21" i="1"/>
  <c r="D5" i="17" s="1"/>
  <c r="C63" i="18" s="1"/>
  <c r="C34" i="1"/>
  <c r="D22" i="1"/>
  <c r="D12" i="17" s="1"/>
  <c r="D52" i="18" s="1"/>
  <c r="J21" i="1"/>
  <c r="J5" i="17" s="1"/>
  <c r="I63" i="18" s="1"/>
  <c r="C10" i="4"/>
  <c r="C22" i="1"/>
  <c r="C12" i="17" s="1"/>
  <c r="C52" i="18" s="1"/>
  <c r="E21" i="1"/>
  <c r="E5" i="17" s="1"/>
  <c r="D63" i="18" s="1"/>
  <c r="B14" i="15"/>
  <c r="B13" i="1"/>
  <c r="B11" i="17" s="1"/>
  <c r="B51" i="18" s="1"/>
  <c r="H13" i="1"/>
  <c r="H11" i="17" s="1"/>
  <c r="H51" i="18" s="1"/>
  <c r="C13" i="1"/>
  <c r="C11" i="17" s="1"/>
  <c r="C51" i="18" s="1"/>
  <c r="E13" i="1"/>
  <c r="E11" i="17" s="1"/>
  <c r="E51" i="18" s="1"/>
  <c r="I13" i="1"/>
  <c r="I11" i="17" s="1"/>
  <c r="I51" i="18" s="1"/>
  <c r="F13" i="1"/>
  <c r="F11" i="17" s="1"/>
  <c r="F51" i="18" s="1"/>
  <c r="J13" i="1"/>
  <c r="J11" i="17" s="1"/>
  <c r="J51" i="18" s="1"/>
  <c r="G13" i="1"/>
  <c r="G11" i="17" s="1"/>
  <c r="G51" i="18" s="1"/>
  <c r="D13" i="1"/>
  <c r="D11" i="17" s="1"/>
  <c r="D51" i="18" s="1"/>
  <c r="K13" i="1"/>
  <c r="K11" i="17" s="1"/>
  <c r="K51" i="18" s="1"/>
  <c r="C3" i="4"/>
  <c r="C2" i="13" s="1"/>
  <c r="C21" i="13" s="1"/>
  <c r="D3" i="4"/>
  <c r="D2" i="13" s="1"/>
  <c r="D21" i="13" s="1"/>
  <c r="E3" i="4"/>
  <c r="E2" i="13" s="1"/>
  <c r="E21" i="13" s="1"/>
  <c r="F3" i="4"/>
  <c r="F2" i="13" s="1"/>
  <c r="F21" i="13" s="1"/>
  <c r="G3" i="4"/>
  <c r="G2" i="13" s="1"/>
  <c r="G21" i="13" s="1"/>
  <c r="H3" i="4"/>
  <c r="H2" i="13" s="1"/>
  <c r="H21" i="13" s="1"/>
  <c r="I3" i="4"/>
  <c r="I2" i="13" s="1"/>
  <c r="I21" i="13" s="1"/>
  <c r="J3" i="4"/>
  <c r="J2" i="13" s="1"/>
  <c r="J21" i="13" s="1"/>
  <c r="K3" i="4"/>
  <c r="K2" i="13" s="1"/>
  <c r="K21" i="13" s="1"/>
  <c r="C3" i="2"/>
  <c r="D3" i="2"/>
  <c r="E3" i="2"/>
  <c r="F3" i="2"/>
  <c r="G3" i="2"/>
  <c r="H3" i="2"/>
  <c r="I3" i="2"/>
  <c r="J3" i="2"/>
  <c r="K3" i="2"/>
  <c r="C3" i="3"/>
  <c r="D3" i="3"/>
  <c r="E3" i="3"/>
  <c r="F3" i="3"/>
  <c r="G3" i="3"/>
  <c r="H3" i="3"/>
  <c r="I3" i="3"/>
  <c r="J3" i="3"/>
  <c r="K3" i="3"/>
  <c r="C3" i="1"/>
  <c r="C3" i="17" s="1"/>
  <c r="C50" i="18" s="1"/>
  <c r="C56" i="18" s="1"/>
  <c r="D3" i="1"/>
  <c r="D3" i="17" s="1"/>
  <c r="D50" i="18" s="1"/>
  <c r="D56" i="18" s="1"/>
  <c r="E3" i="1"/>
  <c r="E3" i="17" s="1"/>
  <c r="E50" i="18" s="1"/>
  <c r="E56" i="18" s="1"/>
  <c r="F3" i="1"/>
  <c r="F3" i="17" s="1"/>
  <c r="F50" i="18" s="1"/>
  <c r="F56" i="18" s="1"/>
  <c r="G3" i="1"/>
  <c r="G3" i="17" s="1"/>
  <c r="G50" i="18" s="1"/>
  <c r="G56" i="18" s="1"/>
  <c r="H3" i="1"/>
  <c r="H3" i="17" s="1"/>
  <c r="H50" i="18" s="1"/>
  <c r="H56" i="18" s="1"/>
  <c r="I3" i="1"/>
  <c r="I3" i="17" s="1"/>
  <c r="I50" i="18" s="1"/>
  <c r="I56" i="18" s="1"/>
  <c r="J3" i="1"/>
  <c r="J3" i="17" s="1"/>
  <c r="J50" i="18" s="1"/>
  <c r="J56" i="18" s="1"/>
  <c r="K3" i="1"/>
  <c r="K3" i="17" s="1"/>
  <c r="K50" i="18" s="1"/>
  <c r="K56" i="18" s="1"/>
  <c r="E16" i="4" l="1"/>
  <c r="F14" i="4"/>
  <c r="F9" i="17" s="1"/>
  <c r="H15" i="4"/>
  <c r="E14" i="4"/>
  <c r="E9" i="17" s="1"/>
  <c r="I14" i="4"/>
  <c r="I9" i="17" s="1"/>
  <c r="H16" i="4"/>
  <c r="E15" i="4"/>
  <c r="B17" i="12"/>
  <c r="B18" i="12" s="1"/>
  <c r="F12" i="9"/>
  <c r="F33" i="9" s="1"/>
  <c r="K36" i="1"/>
  <c r="K4" i="20"/>
  <c r="D23" i="17"/>
  <c r="E24" i="1"/>
  <c r="C58" i="18"/>
  <c r="C6" i="20"/>
  <c r="K58" i="18"/>
  <c r="K6" i="20"/>
  <c r="E36" i="1"/>
  <c r="E4" i="20"/>
  <c r="E5" i="20" s="1"/>
  <c r="C36" i="1"/>
  <c r="C4" i="20"/>
  <c r="C5" i="20" s="1"/>
  <c r="D75" i="18"/>
  <c r="I36" i="1"/>
  <c r="I4" i="20"/>
  <c r="I5" i="20" s="1"/>
  <c r="D15" i="4"/>
  <c r="D16" i="4"/>
  <c r="E58" i="18"/>
  <c r="E6" i="20"/>
  <c r="J58" i="18"/>
  <c r="J6" i="20"/>
  <c r="H36" i="1"/>
  <c r="H4" i="20"/>
  <c r="H5" i="20" s="1"/>
  <c r="I58" i="18"/>
  <c r="I6" i="20"/>
  <c r="J36" i="1"/>
  <c r="J4" i="20"/>
  <c r="J5" i="20" s="1"/>
  <c r="D58" i="18"/>
  <c r="D6" i="20"/>
  <c r="F36" i="1"/>
  <c r="F4" i="20"/>
  <c r="F5" i="20" s="1"/>
  <c r="C10" i="9"/>
  <c r="C31" i="9"/>
  <c r="H31" i="2"/>
  <c r="H22" i="17" s="1"/>
  <c r="D40" i="1"/>
  <c r="E40" i="1"/>
  <c r="J69" i="18"/>
  <c r="J22" i="1"/>
  <c r="J12" i="17" s="1"/>
  <c r="J52" i="18" s="1"/>
  <c r="J24" i="1"/>
  <c r="J29" i="1" s="1"/>
  <c r="G21" i="1"/>
  <c r="G5" i="17" s="1"/>
  <c r="F63" i="18" s="1"/>
  <c r="F31" i="2"/>
  <c r="F22" i="17" s="1"/>
  <c r="H21" i="1"/>
  <c r="H5" i="17" s="1"/>
  <c r="G63" i="18" s="1"/>
  <c r="G24" i="1"/>
  <c r="D25" i="1"/>
  <c r="D6" i="17" s="1"/>
  <c r="C64" i="18" s="1"/>
  <c r="H19" i="1"/>
  <c r="H20" i="17" s="1"/>
  <c r="E26" i="1"/>
  <c r="E13" i="17" s="1"/>
  <c r="E53" i="18" s="1"/>
  <c r="H24" i="1"/>
  <c r="H10" i="4" s="1"/>
  <c r="F69" i="18"/>
  <c r="F24" i="1"/>
  <c r="F34" i="1" s="1"/>
  <c r="D27" i="1"/>
  <c r="F21" i="1"/>
  <c r="F5" i="17" s="1"/>
  <c r="E63" i="18" s="1"/>
  <c r="I21" i="1"/>
  <c r="I5" i="17" s="1"/>
  <c r="H63" i="18" s="1"/>
  <c r="K21" i="1"/>
  <c r="K5" i="17" s="1"/>
  <c r="J63" i="18" s="1"/>
  <c r="E27" i="1"/>
  <c r="E30" i="1" s="1"/>
  <c r="K69" i="18"/>
  <c r="I24" i="1"/>
  <c r="I29" i="1" s="1"/>
  <c r="F16" i="9"/>
  <c r="G19" i="1"/>
  <c r="G20" i="17" s="1"/>
  <c r="F22" i="1"/>
  <c r="F12" i="17" s="1"/>
  <c r="F52" i="18" s="1"/>
  <c r="G22" i="1"/>
  <c r="G12" i="17" s="1"/>
  <c r="G52" i="18" s="1"/>
  <c r="H22" i="1"/>
  <c r="H12" i="17" s="1"/>
  <c r="H52" i="18" s="1"/>
  <c r="K24" i="1"/>
  <c r="K26" i="1" s="1"/>
  <c r="K13" i="17" s="1"/>
  <c r="K53" i="18" s="1"/>
  <c r="G31" i="2"/>
  <c r="G22" i="17" s="1"/>
  <c r="I22" i="1"/>
  <c r="I12" i="17" s="1"/>
  <c r="I52" i="18" s="1"/>
  <c r="I19" i="1"/>
  <c r="I20" i="17" s="1"/>
  <c r="G27" i="1"/>
  <c r="G30" i="1" s="1"/>
  <c r="D22" i="4"/>
  <c r="D21" i="4"/>
  <c r="E70" i="18"/>
  <c r="E29" i="1"/>
  <c r="E18" i="4" s="1"/>
  <c r="H67" i="18"/>
  <c r="H73" i="18" s="1"/>
  <c r="G61" i="18"/>
  <c r="J34" i="1"/>
  <c r="J70" i="18"/>
  <c r="J26" i="1"/>
  <c r="J13" i="17" s="1"/>
  <c r="J53" i="18" s="1"/>
  <c r="G67" i="18"/>
  <c r="G73" i="18" s="1"/>
  <c r="F61" i="18"/>
  <c r="C26" i="1"/>
  <c r="C13" i="17" s="1"/>
  <c r="C53" i="18" s="1"/>
  <c r="C70" i="18"/>
  <c r="C27" i="1"/>
  <c r="C30" i="1" s="1"/>
  <c r="G34" i="1"/>
  <c r="G70" i="18"/>
  <c r="G30" i="2"/>
  <c r="G26" i="1"/>
  <c r="G13" i="17" s="1"/>
  <c r="G53" i="18" s="1"/>
  <c r="H34" i="1"/>
  <c r="F67" i="18"/>
  <c r="F73" i="18" s="1"/>
  <c r="E61" i="18"/>
  <c r="E67" i="18"/>
  <c r="E73" i="18" s="1"/>
  <c r="D61" i="18"/>
  <c r="D67" i="18"/>
  <c r="D73" i="18" s="1"/>
  <c r="C61" i="18"/>
  <c r="J61" i="18"/>
  <c r="K67" i="18"/>
  <c r="K73" i="18" s="1"/>
  <c r="C67" i="18"/>
  <c r="C73" i="18" s="1"/>
  <c r="B61" i="18"/>
  <c r="J67" i="18"/>
  <c r="J73" i="18" s="1"/>
  <c r="I61" i="18"/>
  <c r="D34" i="1"/>
  <c r="D70" i="18"/>
  <c r="D26" i="1"/>
  <c r="D13" i="17" s="1"/>
  <c r="D53" i="18" s="1"/>
  <c r="D30" i="2"/>
  <c r="D10" i="4"/>
  <c r="I67" i="18"/>
  <c r="I73" i="18" s="1"/>
  <c r="H61" i="18"/>
  <c r="C6" i="12"/>
  <c r="C21" i="17"/>
  <c r="C57" i="18" s="1"/>
  <c r="D30" i="1"/>
  <c r="B8" i="4"/>
  <c r="L8" i="4" s="1"/>
  <c r="B7" i="4"/>
  <c r="L7" i="4" s="1"/>
  <c r="B4" i="4"/>
  <c r="B12" i="4" s="1"/>
  <c r="B3" i="4"/>
  <c r="B2" i="13" s="1"/>
  <c r="B21" i="13" s="1"/>
  <c r="K27" i="2"/>
  <c r="K16" i="17" s="1"/>
  <c r="J27" i="2"/>
  <c r="J16" i="17" s="1"/>
  <c r="I27" i="2"/>
  <c r="I16" i="17" s="1"/>
  <c r="H27" i="2"/>
  <c r="H16" i="17" s="1"/>
  <c r="G27" i="2"/>
  <c r="G16" i="17" s="1"/>
  <c r="F27" i="2"/>
  <c r="F16" i="17" s="1"/>
  <c r="E27" i="2"/>
  <c r="E16" i="17" s="1"/>
  <c r="D27" i="2"/>
  <c r="D16" i="17" s="1"/>
  <c r="C27" i="2"/>
  <c r="C16" i="17" s="1"/>
  <c r="B19" i="2"/>
  <c r="B27" i="2" s="1"/>
  <c r="B16" i="17" s="1"/>
  <c r="B13" i="2"/>
  <c r="B12" i="2"/>
  <c r="B11" i="2"/>
  <c r="B10" i="2"/>
  <c r="B28" i="2" s="1"/>
  <c r="B17" i="17" s="1"/>
  <c r="B8" i="2"/>
  <c r="B7" i="2"/>
  <c r="B6" i="2"/>
  <c r="B23" i="2" s="1"/>
  <c r="B3" i="2"/>
  <c r="J17" i="3"/>
  <c r="H17" i="3"/>
  <c r="F17" i="3"/>
  <c r="D17" i="3"/>
  <c r="B15" i="3"/>
  <c r="F16" i="3" s="1"/>
  <c r="B11" i="3"/>
  <c r="B10" i="3"/>
  <c r="B9" i="3"/>
  <c r="B8" i="3"/>
  <c r="B4" i="3"/>
  <c r="F5" i="3" s="1"/>
  <c r="B3" i="3"/>
  <c r="L31" i="1"/>
  <c r="B23" i="1"/>
  <c r="B18" i="1"/>
  <c r="B17" i="1"/>
  <c r="B26" i="2"/>
  <c r="B15" i="17" s="1"/>
  <c r="B3" i="1"/>
  <c r="B3" i="17" s="1"/>
  <c r="B50" i="18" s="1"/>
  <c r="B56" i="18" s="1"/>
  <c r="B67" i="18" s="1"/>
  <c r="B73" i="18" s="1"/>
  <c r="E43" i="1" l="1"/>
  <c r="D43" i="1"/>
  <c r="C43" i="1"/>
  <c r="G58" i="18"/>
  <c r="G6" i="20"/>
  <c r="J18" i="4"/>
  <c r="J22" i="4" s="1"/>
  <c r="I27" i="1"/>
  <c r="I30" i="1" s="1"/>
  <c r="E34" i="1"/>
  <c r="E30" i="2"/>
  <c r="E10" i="4"/>
  <c r="E25" i="1"/>
  <c r="E6" i="17" s="1"/>
  <c r="D64" i="18" s="1"/>
  <c r="K5" i="20"/>
  <c r="M5" i="20" s="1"/>
  <c r="N4" i="20"/>
  <c r="L4" i="20"/>
  <c r="M4" i="20"/>
  <c r="I21" i="4"/>
  <c r="I18" i="4"/>
  <c r="K27" i="1"/>
  <c r="K30" i="1" s="1"/>
  <c r="H58" i="18"/>
  <c r="H6" i="20"/>
  <c r="N5" i="20"/>
  <c r="I30" i="2"/>
  <c r="F58" i="18"/>
  <c r="F6" i="20"/>
  <c r="B27" i="12"/>
  <c r="B21" i="12"/>
  <c r="B6" i="10" s="1"/>
  <c r="C32" i="9"/>
  <c r="D31" i="9"/>
  <c r="D10" i="9"/>
  <c r="C11" i="9"/>
  <c r="C24" i="2"/>
  <c r="B35" i="1"/>
  <c r="B36" i="1" s="1"/>
  <c r="B43" i="1" s="1"/>
  <c r="F70" i="18"/>
  <c r="E41" i="1"/>
  <c r="J30" i="2"/>
  <c r="I70" i="18"/>
  <c r="I22" i="4"/>
  <c r="I26" i="1"/>
  <c r="I13" i="17" s="1"/>
  <c r="I53" i="18" s="1"/>
  <c r="C41" i="1"/>
  <c r="J25" i="1"/>
  <c r="J6" i="17" s="1"/>
  <c r="I64" i="18" s="1"/>
  <c r="I34" i="1"/>
  <c r="I10" i="4"/>
  <c r="J27" i="1"/>
  <c r="J30" i="1" s="1"/>
  <c r="E42" i="1" s="1"/>
  <c r="H25" i="1"/>
  <c r="H6" i="17" s="1"/>
  <c r="G64" i="18" s="1"/>
  <c r="H29" i="1"/>
  <c r="J10" i="4"/>
  <c r="D41" i="1"/>
  <c r="F29" i="1"/>
  <c r="F18" i="4" s="1"/>
  <c r="F26" i="1"/>
  <c r="F13" i="17" s="1"/>
  <c r="F53" i="18" s="1"/>
  <c r="F27" i="1"/>
  <c r="F10" i="4"/>
  <c r="F25" i="1"/>
  <c r="F6" i="17" s="1"/>
  <c r="E64" i="18" s="1"/>
  <c r="F30" i="2"/>
  <c r="I25" i="1"/>
  <c r="I6" i="17" s="1"/>
  <c r="H64" i="18" s="1"/>
  <c r="K25" i="1"/>
  <c r="K6" i="17" s="1"/>
  <c r="J64" i="18" s="1"/>
  <c r="K70" i="18"/>
  <c r="H30" i="2"/>
  <c r="H27" i="1"/>
  <c r="H30" i="1" s="1"/>
  <c r="K29" i="1"/>
  <c r="K18" i="4" s="1"/>
  <c r="K30" i="2"/>
  <c r="B15" i="15" s="1"/>
  <c r="K34" i="1"/>
  <c r="K10" i="4"/>
  <c r="H26" i="1"/>
  <c r="H13" i="17" s="1"/>
  <c r="H53" i="18" s="1"/>
  <c r="G29" i="1"/>
  <c r="G18" i="4" s="1"/>
  <c r="G10" i="4"/>
  <c r="G25" i="1"/>
  <c r="G6" i="17" s="1"/>
  <c r="F64" i="18" s="1"/>
  <c r="H70" i="18"/>
  <c r="E28" i="1"/>
  <c r="E22" i="4"/>
  <c r="E21" i="4"/>
  <c r="E20" i="4"/>
  <c r="B20" i="1"/>
  <c r="B40" i="1" s="1"/>
  <c r="B12" i="15" s="1"/>
  <c r="D28" i="1"/>
  <c r="J28" i="1"/>
  <c r="H28" i="1"/>
  <c r="K28" i="1"/>
  <c r="I28" i="1"/>
  <c r="C5" i="4"/>
  <c r="C8" i="17" s="1"/>
  <c r="B74" i="18"/>
  <c r="D6" i="12"/>
  <c r="D21" i="17"/>
  <c r="D57" i="18" s="1"/>
  <c r="J6" i="12"/>
  <c r="J21" i="17"/>
  <c r="J57" i="18" s="1"/>
  <c r="G21" i="17"/>
  <c r="G57" i="18" s="1"/>
  <c r="G6" i="12"/>
  <c r="B29" i="2"/>
  <c r="B18" i="17" s="1"/>
  <c r="B19" i="17"/>
  <c r="I21" i="17"/>
  <c r="I57" i="18" s="1"/>
  <c r="I6" i="12"/>
  <c r="B9" i="4"/>
  <c r="L4" i="4"/>
  <c r="B75" i="18"/>
  <c r="F13" i="3"/>
  <c r="B12" i="3"/>
  <c r="B16" i="2"/>
  <c r="C17" i="2" s="1"/>
  <c r="C18" i="4" s="1"/>
  <c r="B17" i="3"/>
  <c r="E17" i="3"/>
  <c r="I17" i="3"/>
  <c r="C17" i="3"/>
  <c r="G17" i="3"/>
  <c r="K17" i="3"/>
  <c r="G26" i="2"/>
  <c r="G15" i="17" s="1"/>
  <c r="I26" i="2"/>
  <c r="I15" i="17" s="1"/>
  <c r="K26" i="2"/>
  <c r="K15" i="17" s="1"/>
  <c r="D26" i="2"/>
  <c r="D15" i="17" s="1"/>
  <c r="F26" i="2"/>
  <c r="F15" i="17" s="1"/>
  <c r="H26" i="2"/>
  <c r="H15" i="17" s="1"/>
  <c r="J26" i="2"/>
  <c r="J15" i="17" s="1"/>
  <c r="C26" i="2"/>
  <c r="C15" i="17" s="1"/>
  <c r="E26" i="2"/>
  <c r="E15" i="17" s="1"/>
  <c r="L23" i="1"/>
  <c r="L18" i="1"/>
  <c r="L17" i="1"/>
  <c r="L14" i="1"/>
  <c r="L4" i="1"/>
  <c r="A1" i="3"/>
  <c r="A2" i="4"/>
  <c r="B28" i="12" l="1"/>
  <c r="B31" i="12" s="1"/>
  <c r="C6" i="10" s="1"/>
  <c r="J20" i="4"/>
  <c r="J21" i="4"/>
  <c r="E6" i="12"/>
  <c r="E21" i="17"/>
  <c r="E57" i="18" s="1"/>
  <c r="H18" i="4"/>
  <c r="H22" i="4" s="1"/>
  <c r="C12" i="4"/>
  <c r="C15" i="4" s="1"/>
  <c r="B27" i="20"/>
  <c r="B29" i="20" s="1"/>
  <c r="B30" i="20" s="1"/>
  <c r="B33" i="20" s="1"/>
  <c r="C7" i="10" s="1"/>
  <c r="B16" i="20"/>
  <c r="B18" i="20" s="1"/>
  <c r="B19" i="20" s="1"/>
  <c r="B22" i="20" s="1"/>
  <c r="B7" i="10" s="1"/>
  <c r="C22" i="4"/>
  <c r="C21" i="4"/>
  <c r="D20" i="4"/>
  <c r="L5" i="20"/>
  <c r="C12" i="9"/>
  <c r="D11" i="9"/>
  <c r="C33" i="9"/>
  <c r="D32" i="9"/>
  <c r="F21" i="4"/>
  <c r="F22" i="4"/>
  <c r="K6" i="12"/>
  <c r="K21" i="17"/>
  <c r="K57" i="18" s="1"/>
  <c r="B24" i="1"/>
  <c r="B29" i="1" s="1"/>
  <c r="B18" i="4" s="1"/>
  <c r="B31" i="2"/>
  <c r="B22" i="17" s="1"/>
  <c r="F20" i="4"/>
  <c r="K22" i="4"/>
  <c r="K21" i="4"/>
  <c r="K20" i="4"/>
  <c r="G22" i="4"/>
  <c r="G20" i="4"/>
  <c r="G21" i="4"/>
  <c r="F6" i="12"/>
  <c r="F21" i="17"/>
  <c r="F57" i="18" s="1"/>
  <c r="D42" i="1"/>
  <c r="F30" i="1"/>
  <c r="C42" i="1" s="1"/>
  <c r="F28" i="1"/>
  <c r="G28" i="1"/>
  <c r="C21" i="1"/>
  <c r="C5" i="17" s="1"/>
  <c r="B63" i="18" s="1"/>
  <c r="B16" i="15"/>
  <c r="H21" i="17"/>
  <c r="H57" i="18" s="1"/>
  <c r="H6" i="12"/>
  <c r="C25" i="1"/>
  <c r="C6" i="17" s="1"/>
  <c r="B64" i="18" s="1"/>
  <c r="B69" i="18"/>
  <c r="B22" i="1"/>
  <c r="B41" i="1" s="1"/>
  <c r="B26" i="1"/>
  <c r="B13" i="17" s="1"/>
  <c r="B53" i="18" s="1"/>
  <c r="B10" i="4"/>
  <c r="B19" i="1"/>
  <c r="B20" i="17" s="1"/>
  <c r="B70" i="18"/>
  <c r="B30" i="2"/>
  <c r="B23" i="17"/>
  <c r="C14" i="4"/>
  <c r="C9" i="17" s="1"/>
  <c r="B16" i="4"/>
  <c r="B15" i="4"/>
  <c r="L15" i="1"/>
  <c r="L6" i="1"/>
  <c r="L12" i="1" s="1"/>
  <c r="L16" i="1" s="1"/>
  <c r="B11" i="20" s="1"/>
  <c r="H20" i="4" l="1"/>
  <c r="C16" i="4"/>
  <c r="C75" i="18"/>
  <c r="D14" i="4"/>
  <c r="D9" i="17" s="1"/>
  <c r="H21" i="4"/>
  <c r="C23" i="17"/>
  <c r="B58" i="18"/>
  <c r="B6" i="20"/>
  <c r="I20" i="4"/>
  <c r="J10" i="9"/>
  <c r="J31" i="9"/>
  <c r="D33" i="9"/>
  <c r="C34" i="9"/>
  <c r="C13" i="9"/>
  <c r="D12" i="9"/>
  <c r="B27" i="1"/>
  <c r="B34" i="1"/>
  <c r="B12" i="17"/>
  <c r="B52" i="18" s="1"/>
  <c r="L18" i="4"/>
  <c r="B21" i="4"/>
  <c r="B22" i="4"/>
  <c r="C20" i="4"/>
  <c r="B6" i="12"/>
  <c r="B21" i="17"/>
  <c r="B57" i="18" s="1"/>
  <c r="L20" i="1"/>
  <c r="L13" i="1"/>
  <c r="J32" i="9" l="1"/>
  <c r="K31" i="9"/>
  <c r="K10" i="9"/>
  <c r="J11" i="9"/>
  <c r="C14" i="9"/>
  <c r="D14" i="9" s="1"/>
  <c r="D13" i="9"/>
  <c r="D34" i="9"/>
  <c r="C35" i="9"/>
  <c r="D35" i="9" s="1"/>
  <c r="B30" i="1"/>
  <c r="B42" i="1" s="1"/>
  <c r="C28" i="1"/>
  <c r="L24" i="1"/>
  <c r="B17" i="15" s="1"/>
  <c r="L19" i="1"/>
  <c r="L22" i="1"/>
  <c r="J33" i="9" l="1"/>
  <c r="K32" i="9"/>
  <c r="J12" i="9"/>
  <c r="K11" i="9"/>
  <c r="C36" i="9"/>
  <c r="C15" i="9"/>
  <c r="L26" i="1"/>
  <c r="L27" i="1"/>
  <c r="L30" i="1" s="1"/>
  <c r="K33" i="9" l="1"/>
  <c r="J34" i="9"/>
  <c r="K12" i="9"/>
  <c r="J13" i="9"/>
  <c r="C16" i="9"/>
  <c r="D16" i="9" s="1"/>
  <c r="D15" i="9"/>
  <c r="C37" i="9"/>
  <c r="D37" i="9" s="1"/>
  <c r="D36" i="9"/>
  <c r="G75" i="18"/>
  <c r="D38" i="9" l="1"/>
  <c r="D40" i="9" s="1"/>
  <c r="J14" i="9"/>
  <c r="K13" i="9"/>
  <c r="J35" i="9"/>
  <c r="K34" i="9"/>
  <c r="G23" i="17"/>
  <c r="G14" i="4"/>
  <c r="G9" i="17" s="1"/>
  <c r="H14" i="4"/>
  <c r="H9" i="17" s="1"/>
  <c r="G16" i="4"/>
  <c r="G15" i="4"/>
  <c r="L12" i="4"/>
  <c r="D41" i="9" l="1"/>
  <c r="J36" i="9"/>
  <c r="K35" i="9"/>
  <c r="K14" i="9"/>
  <c r="J15" i="9"/>
  <c r="D17" i="9"/>
  <c r="D20" i="9" s="1"/>
  <c r="K36" i="9" l="1"/>
  <c r="J37" i="9"/>
  <c r="K37" i="9" s="1"/>
  <c r="J16" i="9"/>
  <c r="K16" i="9" s="1"/>
  <c r="K15" i="9"/>
  <c r="D19" i="9"/>
  <c r="K38" i="9" l="1"/>
  <c r="K42" i="9" s="1"/>
  <c r="K17" i="9"/>
  <c r="K19" i="9" s="1"/>
  <c r="K22" i="9" s="1"/>
  <c r="B5" i="10" s="1"/>
  <c r="K21" i="9" l="1"/>
  <c r="K40" i="9"/>
  <c r="K43" i="9" s="1"/>
  <c r="C5" i="10" s="1"/>
</calcChain>
</file>

<file path=xl/sharedStrings.xml><?xml version="1.0" encoding="utf-8"?>
<sst xmlns="http://schemas.openxmlformats.org/spreadsheetml/2006/main" count="502" uniqueCount="298">
  <si>
    <t>COMPANY NAME</t>
  </si>
  <si>
    <t>SCREENER.IN</t>
  </si>
  <si>
    <t>Narration</t>
  </si>
  <si>
    <t>Trailing</t>
  </si>
  <si>
    <t>Sales</t>
  </si>
  <si>
    <t>Expenses</t>
  </si>
  <si>
    <t>Operating Profit</t>
  </si>
  <si>
    <t>Other Income</t>
  </si>
  <si>
    <t>Depreciation</t>
  </si>
  <si>
    <t>Interest</t>
  </si>
  <si>
    <t>Profit before tax</t>
  </si>
  <si>
    <t>Tax</t>
  </si>
  <si>
    <t>Net profit</t>
  </si>
  <si>
    <t>Dividend Payout</t>
  </si>
  <si>
    <t>OPM</t>
  </si>
  <si>
    <t>TRENDS:</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</si>
  <si>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</si>
  <si>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</si>
  <si>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</si>
  <si>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</si>
  <si>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</si>
  <si>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</si>
  <si>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</si>
  <si>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</si>
  <si>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</si>
  <si>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</si>
  <si>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</si>
  <si>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</si>
  <si>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</si>
  <si>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</si>
  <si>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</si>
  <si>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</si>
  <si>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</si>
  <si>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</si>
  <si>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</si>
  <si>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</si>
  <si>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</si>
  <si>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</si>
  <si>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</si>
  <si>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</si>
  <si>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</si>
  <si>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</si>
  <si>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EPS</t>
  </si>
  <si>
    <t>Price</t>
  </si>
  <si>
    <t>Return on Equity</t>
  </si>
  <si>
    <t>LATEST VERSION</t>
  </si>
  <si>
    <t>CURRENT VERSION</t>
  </si>
  <si>
    <t>UPL LTD</t>
  </si>
  <si>
    <t>META</t>
  </si>
  <si>
    <t>10 YEARS</t>
  </si>
  <si>
    <t>7 YEARS</t>
  </si>
  <si>
    <t>5 YEARS</t>
  </si>
  <si>
    <t>3 YEARS</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</si>
  <si>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</si>
  <si>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</si>
  <si>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</si>
  <si>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</si>
  <si>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</si>
  <si>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</si>
  <si>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</si>
  <si>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</si>
  <si>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</si>
  <si>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</si>
  <si>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</si>
  <si>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</si>
  <si>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</si>
  <si>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</si>
  <si>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</si>
  <si>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</si>
  <si>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</si>
  <si>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</si>
  <si>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</si>
  <si>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</si>
  <si>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Operating Profit Margin</t>
  </si>
  <si>
    <t>Net Profit Margin</t>
  </si>
  <si>
    <t>% Growth YOY</t>
  </si>
  <si>
    <t>Cash from Operating Activity (CFO)</t>
  </si>
  <si>
    <t>CFO/Sales</t>
  </si>
  <si>
    <t>CFO/Net Profit</t>
  </si>
  <si>
    <t>Return on Capital Employed</t>
  </si>
  <si>
    <t>Fixed Asset Turnover</t>
  </si>
  <si>
    <t>Debt/Equity</t>
  </si>
  <si>
    <t>Interest Coverage(Times)</t>
  </si>
  <si>
    <t>PBT Margin</t>
  </si>
  <si>
    <t>Selling and Admin Cost</t>
  </si>
  <si>
    <t>Material Cost (% of Sales)</t>
  </si>
  <si>
    <t>Profit before tax (PBT)</t>
  </si>
  <si>
    <t>Year</t>
  </si>
  <si>
    <t>Year 1-3</t>
  </si>
  <si>
    <t>Year 4-6</t>
  </si>
  <si>
    <t>FY21</t>
  </si>
  <si>
    <t>FY22</t>
  </si>
  <si>
    <t>FY23</t>
  </si>
  <si>
    <t>FY24</t>
  </si>
  <si>
    <t>FY25</t>
  </si>
  <si>
    <t>FY26</t>
  </si>
  <si>
    <t>Current Mkt. Cap.</t>
  </si>
  <si>
    <t>Premium/(Discount) to IV</t>
  </si>
  <si>
    <t>Excess Cash (Latest)</t>
  </si>
  <si>
    <t>PBT</t>
  </si>
  <si>
    <t>Intrinsic Value</t>
  </si>
  <si>
    <t>Particulars</t>
  </si>
  <si>
    <t>CAGR (5-Yr)</t>
  </si>
  <si>
    <t>Current P/E (x)</t>
  </si>
  <si>
    <t>CAGR (9-Yr)</t>
  </si>
  <si>
    <t>Net Profit (Rs Crore)</t>
  </si>
  <si>
    <t>Current Market Cap (Rs Cr)</t>
  </si>
  <si>
    <t>Discounted Value (Rs Cr)</t>
  </si>
  <si>
    <r>
      <t>Calculations</t>
    </r>
    <r>
      <rPr>
        <sz val="10"/>
        <color rgb="FFC00000"/>
        <rFont val="Arial"/>
        <family val="2"/>
      </rPr>
      <t xml:space="preserve"> </t>
    </r>
    <r>
      <rPr>
        <i/>
        <sz val="10"/>
        <color theme="1"/>
        <rFont val="Arial"/>
        <family val="2"/>
      </rPr>
      <t>(Enter values only in black cells)</t>
    </r>
  </si>
  <si>
    <t>Expected Returns Model</t>
  </si>
  <si>
    <t>Common Size P&amp;L</t>
  </si>
  <si>
    <t>Common Size Balance Sheet</t>
  </si>
  <si>
    <t>Total Liabilities</t>
  </si>
  <si>
    <t>Total Assets</t>
  </si>
  <si>
    <t>Profit Before Tax</t>
  </si>
  <si>
    <t>Net Profit</t>
  </si>
  <si>
    <t>Lower</t>
  </si>
  <si>
    <t>Higher</t>
  </si>
  <si>
    <t>Rs Cr</t>
  </si>
  <si>
    <t>PBT Growth</t>
  </si>
  <si>
    <t>Market Cap</t>
  </si>
  <si>
    <t>Retained Earnings</t>
  </si>
  <si>
    <t>Other Income as % of Sales</t>
  </si>
  <si>
    <t>Basic Company Details</t>
  </si>
  <si>
    <t>Parameters</t>
  </si>
  <si>
    <t>Details</t>
  </si>
  <si>
    <t>Company</t>
  </si>
  <si>
    <t>Current Stock Price (Rs)</t>
  </si>
  <si>
    <t>Face Value (Rs)</t>
  </si>
  <si>
    <t>No. of Shares (Crore)</t>
  </si>
  <si>
    <t>Market Capitalization (Rs Crore)</t>
  </si>
  <si>
    <t>Net Profit Growth (8-Year CAGR)</t>
  </si>
  <si>
    <t>Average Debt/Equity (5-Years, x)</t>
  </si>
  <si>
    <t>Average Return on Equity (5-Years)</t>
  </si>
  <si>
    <t>Key Financials - Trend</t>
  </si>
  <si>
    <t>Sales Growth (9-Year CAGR)</t>
  </si>
  <si>
    <t>Profit Before Tax Growth (9-Year CAGR)</t>
  </si>
  <si>
    <t>Latest P/E (x)</t>
  </si>
  <si>
    <t>Average P/E (5-Years, x)</t>
  </si>
  <si>
    <t>Cash &amp; Bank**</t>
  </si>
  <si>
    <t>Intrinsic Value Range</t>
  </si>
  <si>
    <t>Profit &amp; Loss Account / Income Statement</t>
  </si>
  <si>
    <t>Check for long term vs short term trends here. Check if the growth over past 3 or 5 years has slowed down / improved compared to long term (7 to 10 years) growth numbers.</t>
  </si>
  <si>
    <t>HOW TO USE THIS SPREADSHEET</t>
  </si>
  <si>
    <t>IMPORTANT INSTRUCTIONS</t>
  </si>
  <si>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t>
  </si>
  <si>
    <t>Last 5-Years' CAGR</t>
  </si>
  <si>
    <t>4. DON’T touch any cell except the black ones, where you are required to update the numbers manually from Annual Reports (just Cash and Capex numbers) or where you may change the growth assumptions etc.</t>
  </si>
  <si>
    <t>3. You may update the sheet and add your own analysis, formulae etc. and then upload again to Screener.in site using the Step 2 mentioned above. But DON'T touch the sheet titled "Data Sheet" because this will cause errors in your future downloads.</t>
  </si>
  <si>
    <t>Balance Sheet</t>
  </si>
  <si>
    <t>Cash Flow Statement</t>
  </si>
  <si>
    <r>
      <rPr>
        <b/>
        <sz val="11"/>
        <color theme="1"/>
        <rFont val="Calibri"/>
        <family val="2"/>
        <scheme val="minor"/>
      </rPr>
      <t>Step 1 -</t>
    </r>
    <r>
      <rPr>
        <sz val="11"/>
        <color theme="1"/>
        <rFont val="Calibri"/>
        <family val="2"/>
        <scheme val="minor"/>
      </rPr>
      <t xml:space="preserve"> This spreadsheet works </t>
    </r>
    <r>
      <rPr>
        <i/>
        <sz val="11"/>
        <color theme="1"/>
        <rFont val="Calibri"/>
        <family val="2"/>
        <scheme val="minor"/>
      </rPr>
      <t>only</t>
    </r>
    <r>
      <rPr>
        <sz val="11"/>
        <color theme="1"/>
        <rFont val="Calibri"/>
        <family val="2"/>
        <scheme val="minor"/>
      </rPr>
      <t xml:space="preserve"> on Screener.in. The first step is to create a free account here - https://www.screener.in/register/</t>
    </r>
  </si>
  <si>
    <r>
      <rPr>
        <b/>
        <sz val="11"/>
        <color theme="1"/>
        <rFont val="Calibri"/>
        <family val="2"/>
        <scheme val="minor"/>
      </rPr>
      <t xml:space="preserve">Step 2 - </t>
    </r>
    <r>
      <rPr>
        <sz val="11"/>
        <color theme="1"/>
        <rFont val="Calibri"/>
        <family val="2"/>
        <scheme val="minor"/>
      </rPr>
      <t>After creating your account, while you are logged in to Screener.in website, visit this page - https://www.screener.in/excel/ - and upload this excel file.</t>
    </r>
  </si>
  <si>
    <r>
      <rPr>
        <b/>
        <sz val="10"/>
        <color theme="1"/>
        <rFont val="Arial"/>
        <family val="2"/>
      </rPr>
      <t>Note:</t>
    </r>
    <r>
      <rPr>
        <sz val="10"/>
        <color theme="1"/>
        <rFont val="Arial"/>
        <family val="2"/>
      </rPr>
      <t xml:space="preserve"> All data is sourced from Screener.in</t>
    </r>
  </si>
  <si>
    <t>Operating Margin</t>
  </si>
  <si>
    <t>Net Profit Growth</t>
  </si>
  <si>
    <t>Net Margin</t>
  </si>
  <si>
    <t>Key Ratios</t>
  </si>
  <si>
    <t>Free Cash Flow (Rs Cr)</t>
  </si>
  <si>
    <t>Interest Coverage (Times)</t>
  </si>
  <si>
    <t>% Growth YoY</t>
  </si>
  <si>
    <t>Operating Cash Flow Growth</t>
  </si>
  <si>
    <t>Free Cash Flow Growth</t>
  </si>
  <si>
    <t>Debt/Assets</t>
  </si>
  <si>
    <t>Margins</t>
  </si>
  <si>
    <t>Management Effectiveness</t>
  </si>
  <si>
    <t>ROE</t>
  </si>
  <si>
    <t>ROCE</t>
  </si>
  <si>
    <t>Dividend Growth</t>
  </si>
  <si>
    <t>Revenue &amp; Profit Growth</t>
  </si>
  <si>
    <t>Revenue Growth</t>
  </si>
  <si>
    <t>Revenue &amp; Profit</t>
  </si>
  <si>
    <t>Revenue</t>
  </si>
  <si>
    <r>
      <rPr>
        <b/>
        <sz val="10"/>
        <color theme="1"/>
        <rFont val="Arial"/>
        <family val="2"/>
      </rPr>
      <t xml:space="preserve">Note: </t>
    </r>
    <r>
      <rPr>
        <sz val="10"/>
        <color theme="1"/>
        <rFont val="Arial"/>
        <family val="2"/>
      </rPr>
      <t>Please ignore the dates on the X-axis. The figures are for/as on the year ending date, which for most Indian companies would be 31st March of that year</t>
    </r>
  </si>
  <si>
    <t>Cash Flows</t>
  </si>
  <si>
    <t>Operating Cash Flow</t>
  </si>
  <si>
    <t>Free Cash Flow</t>
  </si>
  <si>
    <t>Data for Charts (Please don't touch any number below)</t>
  </si>
  <si>
    <t>** Manually copy Cash and Equivalents from Consolidated Balance Sheet in Screener</t>
  </si>
  <si>
    <t>PE Ratio</t>
  </si>
  <si>
    <t>Pros</t>
  </si>
  <si>
    <t>Cons</t>
  </si>
  <si>
    <t>Risks</t>
  </si>
  <si>
    <t>** Manually copy Fixed Assets purchased minus Fixed assets sold from screener.in</t>
  </si>
  <si>
    <t>Capex</t>
  </si>
  <si>
    <t>Terminal growth</t>
  </si>
  <si>
    <t>DCF Intrinsic value</t>
  </si>
  <si>
    <t>FCFE</t>
  </si>
  <si>
    <t>Average FCFE (3 Years)</t>
  </si>
  <si>
    <t>Net Debt</t>
  </si>
  <si>
    <t>Net Debt issued</t>
  </si>
  <si>
    <t>FCFE Growth YoY</t>
  </si>
  <si>
    <t>FCFE/Sales</t>
  </si>
  <si>
    <t>FCFE/Net Profit</t>
  </si>
  <si>
    <t>FCFF</t>
  </si>
  <si>
    <t>Change in WC</t>
  </si>
  <si>
    <t>NOPAT</t>
  </si>
  <si>
    <t>FCFF Growth YoY</t>
  </si>
  <si>
    <t>FCFF/Sales</t>
  </si>
  <si>
    <t>FCFF/Net Profit</t>
  </si>
  <si>
    <t>Cost of Equity</t>
  </si>
  <si>
    <t>WACC</t>
  </si>
  <si>
    <t>Assumed FCFE Growth</t>
  </si>
  <si>
    <t>Assumed FCFF Growth</t>
  </si>
  <si>
    <t>FCFE (Rs Cr)</t>
  </si>
  <si>
    <t>PV (Rs Cr)</t>
  </si>
  <si>
    <t>FCFF (Rs Cr)</t>
  </si>
  <si>
    <t>PV  (Rs Cr)</t>
  </si>
  <si>
    <t>Terminal</t>
  </si>
  <si>
    <t>Enterprise Value</t>
  </si>
  <si>
    <t>Intrinsic value of Equity</t>
  </si>
  <si>
    <t>Share price</t>
  </si>
  <si>
    <t>Estimated CAGR in Net Profit over next 5 years</t>
  </si>
  <si>
    <t>Exit P/E in the 5th year from now (Estimated)</t>
  </si>
  <si>
    <t>Esti. Market Cap (5th year from now)</t>
  </si>
  <si>
    <t>Price per share (Low)</t>
  </si>
  <si>
    <t>High estimate</t>
  </si>
  <si>
    <t>Low estimate</t>
  </si>
  <si>
    <t>Expected Returns</t>
  </si>
  <si>
    <t>EBITDA Multiple</t>
  </si>
  <si>
    <t>DCF - FCFE</t>
  </si>
  <si>
    <t>DCF - FCFF</t>
  </si>
  <si>
    <t>EBITDA</t>
  </si>
  <si>
    <t>EV/EBITDA</t>
  </si>
  <si>
    <t>Relative valuation</t>
  </si>
  <si>
    <t>EBITDA (Rs Crore)</t>
  </si>
  <si>
    <t>EBITDA Margin</t>
  </si>
  <si>
    <t>CAGR (3-Yr)</t>
  </si>
  <si>
    <t>Estimated CAGR in EBITDA over next 3 years</t>
  </si>
  <si>
    <t>Estimated EBITDA after 3 years (Rs Cr)</t>
  </si>
  <si>
    <t>Current EV/EBITDA (x)</t>
  </si>
  <si>
    <t>Exit EV/EBITDA in 3 years(Estimated)</t>
  </si>
  <si>
    <t>Checklist</t>
  </si>
  <si>
    <t>Good corporate governance</t>
  </si>
  <si>
    <t>Low bankruptcy risks</t>
  </si>
  <si>
    <t>Strong/stable cash flows</t>
  </si>
  <si>
    <t>Interest coverage &gt; 5</t>
  </si>
  <si>
    <t>High ROE/ROCE</t>
  </si>
  <si>
    <t>High revenue growth expectation</t>
  </si>
  <si>
    <t>Positive trend in dividend (or EBITDA)</t>
  </si>
  <si>
    <t>Technical analysis/Momentum</t>
  </si>
  <si>
    <t>Trading liquidity (ADTV&gt;1cr)</t>
  </si>
  <si>
    <t>Positive</t>
  </si>
  <si>
    <t>Neutral</t>
  </si>
  <si>
    <t>Negative</t>
  </si>
  <si>
    <t>Total positive</t>
  </si>
  <si>
    <t>Total negative</t>
  </si>
  <si>
    <t>Net score</t>
  </si>
  <si>
    <t>Estimated Net Profit after 5 years (Rs Cr)</t>
  </si>
  <si>
    <r>
      <rPr>
        <b/>
        <sz val="10"/>
        <color theme="1"/>
        <rFont val="Arial"/>
        <family val="2"/>
      </rPr>
      <t>Step 3 -</t>
    </r>
    <r>
      <rPr>
        <sz val="10"/>
        <color theme="1"/>
        <rFont val="Arial"/>
        <family val="2"/>
      </rPr>
      <t xml:space="preserve"> Visit the home page of Screener.in and choose a company of your choice. Once you do that, you will see details of your chosen company. </t>
    </r>
  </si>
  <si>
    <r>
      <rPr>
        <b/>
        <sz val="10"/>
        <color theme="1"/>
        <rFont val="Arial"/>
        <family val="2"/>
      </rPr>
      <t>Step 4 -</t>
    </r>
    <r>
      <rPr>
        <sz val="10"/>
        <color theme="1"/>
        <rFont val="Arial"/>
        <family val="2"/>
      </rPr>
      <t xml:space="preserve"> Scroll back to the top of the page, and you will see a button "Export to Excel" on the right side. Click the button and the company's financial data will be exported in an excel file in the exact format </t>
    </r>
  </si>
  <si>
    <t xml:space="preserve">1. Ensure that the company whose data you are downloading has numbers at least starting from FY10 (March 2010). This is because if, for instance, the company has financials starting from, say, FY12, you will see incorrect data for FY10 and FY11 </t>
  </si>
  <si>
    <t>2. All financial data of your chosen company will be automatically updated in the sheet you download, except "Cash and Bank" (Balance Sheet sheet) and Capex (Cash Flow sheet) figures, which you must update manually from screener</t>
  </si>
  <si>
    <t>* Use drop down menu for the above checklist</t>
  </si>
  <si>
    <t>* List the Pros/Cons/Risks of the company here</t>
  </si>
  <si>
    <t>Fixed assets purchased **</t>
  </si>
  <si>
    <t>Fixed assets sold **</t>
  </si>
  <si>
    <t>Research reports</t>
  </si>
  <si>
    <t>Date</t>
  </si>
  <si>
    <t>Issuer</t>
  </si>
  <si>
    <t>Target Price</t>
  </si>
  <si>
    <t>Latest Debt debt (**change manually if significantly different from last available number)</t>
  </si>
  <si>
    <t>Discounted EV (Rs Cr)</t>
  </si>
  <si>
    <t>Esti. EV (3 years from now)</t>
  </si>
  <si>
    <t>Discount Market cap</t>
  </si>
  <si>
    <t>Discounted Market Cap</t>
  </si>
  <si>
    <t>Cost of Debt</t>
  </si>
  <si>
    <t>** Use estimates from annual reports/industry reports</t>
  </si>
  <si>
    <t>** Alter based on Company risks compared to average firm</t>
  </si>
  <si>
    <t>Tax rate</t>
  </si>
  <si>
    <t>** For conglomerates, take weighted average for each business</t>
  </si>
  <si>
    <t>Upside</t>
  </si>
  <si>
    <t>This does not look good</t>
  </si>
  <si>
    <t>Why negative other income / check</t>
  </si>
  <si>
    <t>Stable</t>
  </si>
  <si>
    <t>Super increase in last 12 months</t>
  </si>
  <si>
    <t>Dosent look great. Look into it</t>
  </si>
  <si>
    <t>Low numbers in '19 due to increase in capital</t>
  </si>
  <si>
    <t>Expected NP 2020</t>
  </si>
  <si>
    <t>Expected EBITDA 2020</t>
  </si>
  <si>
    <t xml:space="preserve"> </t>
  </si>
  <si>
    <t>DCF will give a bad estimate because of increasing capex</t>
  </si>
  <si>
    <t>Expected FCF for 2020</t>
  </si>
  <si>
    <t>Expected FCF 2020</t>
  </si>
  <si>
    <t>Leading exporter of Agrochemicals</t>
  </si>
  <si>
    <t>Demand is expected to increase in the coming years</t>
  </si>
  <si>
    <t>Well diversified geographically</t>
  </si>
  <si>
    <t>Governmental regulations could impact product sales</t>
  </si>
  <si>
    <t>Supply chain issues in export during current times</t>
  </si>
  <si>
    <t>INR appreciation will have significant impact on bottom line</t>
  </si>
  <si>
    <t>% of promoter pledged shares reduced from 2% to 0.6% in May 20</t>
  </si>
  <si>
    <t>High debt/interest</t>
  </si>
  <si>
    <t>Emkay</t>
  </si>
  <si>
    <t>Kotak</t>
  </si>
  <si>
    <t>Prabhudas Liladhar</t>
  </si>
  <si>
    <t>variable cash flows</t>
  </si>
  <si>
    <t>Fall in sales could dramatically affect bottom line</t>
  </si>
  <si>
    <t>Too much M&amp;A activity could be painful to manage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</si>
</sst>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_(* #,##0.00_);_(* \(#,##0.00\);_(* &quot;-&quot;??_);_(@_)"/>
    <numFmt numFmtId="165" formatCode="[$-409]mmm\-yy;@"/>
    <numFmt numFmtId="166" formatCode="_(* #,##0_);_(* \(#,##0\);_(* &quot;-&quot;??_);_(@_)"/>
    <numFmt numFmtId="167" formatCode="_(* #,##0.0_);_(* \(#,##0.0\);_(* &quot;-&quot;??_);_(@_)"/>
    <numFmt numFmtId="168" formatCode="[$-409]mmm/yy;@"/>
    <numFmt numFmtId="169" formatCode="_ * #,##0.0_ ;_ * \-#,##0.0_ ;_ * &quot;-&quot;??_ ;_ @_ "/>
    <numFmt numFmtId="170" formatCode="_ * #,##0_ ;_ * \-#,##0_ ;_ * &quot;-&quot;??_ ;_ @_ "/>
    <numFmt numFmtId="171" formatCode="0.0%"/>
    <numFmt numFmtId="172" formatCode="0.0000%"/>
  </numFmts>
  <fonts count="44"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
      <sz val="11"/>
      <color theme="0"/>
      <name val="Calibri"/>
      <family val="2"/>
      <scheme val="minor"/>
    </font>
    <font>
      <b/>
      <sz val="15"/>
      <color theme="1"/>
      <name val="Arial"/>
      <family val="2"/>
    </font>
    <font>
      <b/>
      <sz val="10"/>
      <color theme="1"/>
      <name val="Arial"/>
      <family val="2"/>
    </font>
    <font>
      <sz val="10"/>
      <color theme="1"/>
      <name val="Arial"/>
      <family val="2"/>
    </font>
    <font>
      <b/>
      <sz val="10"/>
      <color theme="0"/>
      <name val="Arial"/>
      <family val="2"/>
    </font>
    <font>
      <i/>
      <sz val="10"/>
      <color theme="1"/>
      <name val="Arial"/>
      <family val="2"/>
    </font>
    <font>
      <sz val="10"/>
      <color theme="0"/>
      <name val="Arial"/>
      <family val="2"/>
    </font>
    <font>
      <sz val="10"/>
      <name val="Arial"/>
      <family val="2"/>
    </font>
    <font>
      <u/>
      <sz val="10"/>
      <color theme="10"/>
      <name val="Arial"/>
      <family val="2"/>
    </font>
    <font>
      <b/>
      <sz val="12"/>
      <color theme="1"/>
      <name val="Arial"/>
      <family val="2"/>
    </font>
    <font>
      <sz val="10"/>
      <color rgb="FFC00000"/>
      <name val="Arial"/>
      <family val="2"/>
    </font>
    <font>
      <b/>
      <sz val="10"/>
      <color theme="1" tint="0.14999847407452621"/>
      <name val="Arial"/>
      <family val="2"/>
    </font>
    <font>
      <sz val="10"/>
      <color theme="1" tint="0.14999847407452621"/>
      <name val="Arial"/>
      <family val="2"/>
    </font>
    <font>
      <b/>
      <i/>
      <sz val="10"/>
      <color theme="1"/>
      <name val="Arial"/>
      <family val="2"/>
    </font>
    <font>
      <sz val="10"/>
      <color theme="1"/>
      <name val="Calibri"/>
      <family val="2"/>
      <scheme val="minor"/>
    </font>
    <font>
      <sz val="10"/>
      <color theme="1"/>
      <name val="Arial"/>
      <family val="2"/>
    </font>
    <font>
      <b/>
      <sz val="10"/>
      <color theme="1"/>
      <name val="Arial"/>
      <family val="2"/>
    </font>
    <font>
      <b/>
      <sz val="10"/>
      <color theme="0"/>
      <name val="Arial"/>
      <family val="2"/>
    </font>
    <font>
      <i/>
      <sz val="10"/>
      <color theme="1"/>
      <name val="Arial"/>
      <family val="2"/>
    </font>
    <font>
      <b/>
      <sz val="10"/>
      <color theme="1"/>
      <name val="Arial"/>
      <family val="2"/>
    </font>
    <font>
      <sz val="10"/>
      <color theme="1"/>
      <name val="Arial"/>
      <family val="2"/>
    </font>
    <font>
      <b/>
      <sz val="10"/>
      <color theme="1"/>
      <name val="Arial"/>
      <family val="2"/>
    </font>
    <font>
      <sz val="10"/>
      <color theme="1"/>
      <name val="Arial"/>
      <family val="2"/>
    </font>
    <font>
      <b/>
      <sz val="10"/>
      <color theme="0"/>
      <name val="Arial"/>
      <family val="2"/>
    </font>
    <font>
      <sz val="10"/>
      <color theme="0"/>
      <name val="Arial"/>
      <family val="2"/>
    </font>
    <font>
      <i/>
      <sz val="10"/>
      <color theme="1"/>
      <name val="Arial"/>
      <family val="2"/>
    </font>
    <font>
      <b/>
      <i/>
      <sz val="10"/>
      <color rgb="FFC00000"/>
      <name val="Arial"/>
      <family val="2"/>
    </font>
    <font>
      <sz val="10"/>
      <color theme="1"/>
      <name val="Arial"/>
      <family val="2"/>
    </font>
    <font>
      <b/>
      <u/>
      <sz val="12"/>
      <color rgb="FF0000FF"/>
      <name val="Arial"/>
      <family val="2"/>
    </font>
    <font>
      <b/>
      <sz val="12"/>
      <color rgb="FFC00000"/>
      <name val="Arial"/>
      <family val="2"/>
    </font>
    <font>
      <i/>
      <sz val="11"/>
      <color theme="1"/>
      <name val="Calibri"/>
      <family val="2"/>
      <scheme val="minor"/>
    </font>
    <font>
      <i/>
      <sz val="10"/>
      <color theme="1"/>
      <name val="Arial"/>
      <family val="2"/>
    </font>
    <font>
      <sz val="9"/>
      <color theme="1"/>
      <name val="Arial"/>
      <family val="2"/>
    </font>
    <font>
      <b/>
      <sz val="9"/>
      <color theme="1"/>
      <name val="Arial"/>
      <family val="2"/>
    </font>
    <font>
      <b/>
      <sz val="10"/>
      <color theme="1"/>
      <name val="Calibri"/>
      <family val="2"/>
      <scheme val="minor"/>
    </font>
    <font>
      <i/>
      <sz val="10"/>
      <name val="Arial"/>
      <family val="2"/>
    </font>
    <font>
      <b/>
      <u/>
      <sz val="10"/>
      <color theme="1"/>
      <name val="Calibri"/>
      <family val="2"/>
      <scheme val="minor"/>
    </font>
    <font>
      <b/>
      <u/>
      <sz val="10"/>
      <color theme="1"/>
      <name val="Arial"/>
      <family val="2"/>
    </font>
    <font>
      <sz val="11"/>
      <color theme="0"/>
      <name val="Segoe UI"/>
      <family val="2"/>
    </font>
    <font>
      <b/>
      <sz val="10"/>
      <color rgb="FFFF0000"/>
      <name val="Arial"/>
      <family val="2"/>
    </font>
  </fonts>
  <fills count="12">
    <fill>
      <patternFill patternType="none"/>
    </fill>
    <fill>
      <patternFill patternType="gray125"/>
    </fill>
    <fill>
      <patternFill patternType="solid">
        <fgColor theme="9"/>
      </patternFill>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2" borderId="0" applyNumberFormat="0" applyBorder="0" applyAlignment="0" applyProtection="0"/>
    <xf numFmtId="9" fontId="2" fillId="0" borderId="0" applyFont="0" applyFill="0" applyBorder="0" applyAlignment="0" applyProtection="0"/>
  </cellStyleXfs>
  <cellXfs count="391">
    <xf numFmtId="0" fontId="0" fillId="0" borderId="0" xfId="0"/>
    <xf numFmtId="0" fontId="6" fillId="0" borderId="0" xfId="0" applyFont="1" applyBorder="1"/>
    <xf numFmtId="0" fontId="7" fillId="0" borderId="0" xfId="0" applyFont="1"/>
    <xf numFmtId="165" fontId="8" fillId="3" borderId="0" xfId="0" applyNumberFormat="1" applyFont="1" applyFill="1" applyBorder="1" applyAlignment="1">
      <alignment horizontal="center"/>
    </xf>
    <xf numFmtId="0" fontId="6" fillId="0" borderId="0" xfId="0" applyFont="1" applyFill="1" applyBorder="1"/>
    <xf numFmtId="43" fontId="6" fillId="0" borderId="0" xfId="1" applyFont="1" applyBorder="1"/>
    <xf numFmtId="0" fontId="9" fillId="0" borderId="0" xfId="0" applyFont="1" applyBorder="1"/>
    <xf numFmtId="0" fontId="7" fillId="0" borderId="0" xfId="0" applyFont="1" applyBorder="1"/>
    <xf numFmtId="43" fontId="7" fillId="0" borderId="0" xfId="1" applyFont="1" applyBorder="1"/>
    <xf numFmtId="0" fontId="7" fillId="0" borderId="1" xfId="0" applyFont="1" applyBorder="1"/>
    <xf numFmtId="0" fontId="6" fillId="0" borderId="0" xfId="0" applyFont="1"/>
    <xf numFmtId="0" fontId="6" fillId="0" borderId="0" xfId="0" applyFont="1" applyFill="1" applyBorder="1" applyAlignment="1"/>
    <xf numFmtId="0" fontId="7" fillId="0" borderId="0" xfId="0" applyFont="1" applyFill="1" applyBorder="1"/>
    <xf numFmtId="0" fontId="11" fillId="0" borderId="0" xfId="0" applyFont="1" applyFill="1" applyBorder="1"/>
    <xf numFmtId="165" fontId="8" fillId="3" borderId="0" xfId="1" applyNumberFormat="1" applyFont="1" applyFill="1" applyBorder="1"/>
    <xf numFmtId="165" fontId="11" fillId="0" borderId="0" xfId="1" applyNumberFormat="1" applyFont="1" applyFill="1" applyBorder="1"/>
    <xf numFmtId="164" fontId="7" fillId="0" borderId="0" xfId="1" applyNumberFormat="1" applyFont="1" applyBorder="1"/>
    <xf numFmtId="170" fontId="7" fillId="0" borderId="1" xfId="1" applyNumberFormat="1" applyFont="1" applyBorder="1"/>
    <xf numFmtId="0" fontId="8" fillId="4" borderId="1" xfId="0" applyFont="1" applyFill="1" applyBorder="1"/>
    <xf numFmtId="0" fontId="7" fillId="0" borderId="1" xfId="0" applyFont="1" applyBorder="1" applyAlignment="1">
      <alignment horizontal="center"/>
    </xf>
    <xf numFmtId="166" fontId="14" fillId="0" borderId="1" xfId="1" applyNumberFormat="1" applyFont="1" applyBorder="1" applyAlignment="1">
      <alignment horizontal="right"/>
    </xf>
    <xf numFmtId="166" fontId="7" fillId="0" borderId="1" xfId="1" applyNumberFormat="1" applyFont="1" applyBorder="1" applyAlignment="1">
      <alignment horizontal="right"/>
    </xf>
    <xf numFmtId="166" fontId="7" fillId="0" borderId="1" xfId="1" applyNumberFormat="1" applyFont="1" applyBorder="1"/>
    <xf numFmtId="9" fontId="7" fillId="0" borderId="1" xfId="4" applyFont="1" applyBorder="1"/>
    <xf numFmtId="0" fontId="15" fillId="8" borderId="1" xfId="0" applyFont="1" applyFill="1" applyBorder="1" applyAlignment="1">
      <alignment horizontal="center"/>
    </xf>
    <xf numFmtId="0" fontId="15" fillId="8" borderId="1" xfId="0" applyFont="1" applyFill="1" applyBorder="1"/>
    <xf numFmtId="0" fontId="15" fillId="8" borderId="1" xfId="0" applyFont="1" applyFill="1" applyBorder="1" applyAlignment="1">
      <alignment horizontal="right"/>
    </xf>
    <xf numFmtId="170" fontId="8" fillId="4" borderId="1" xfId="1" applyNumberFormat="1" applyFont="1" applyFill="1" applyBorder="1" applyAlignment="1">
      <alignment horizontal="right"/>
    </xf>
    <xf numFmtId="166" fontId="7" fillId="7" borderId="1" xfId="1" applyNumberFormat="1" applyFont="1" applyFill="1" applyBorder="1"/>
    <xf numFmtId="166" fontId="16" fillId="7" borderId="1" xfId="1" applyNumberFormat="1" applyFont="1" applyFill="1" applyBorder="1"/>
    <xf numFmtId="0" fontId="11" fillId="0" borderId="18" xfId="0" applyFont="1" applyBorder="1" applyAlignment="1">
      <alignment horizontal="left"/>
    </xf>
    <xf numFmtId="0" fontId="6" fillId="9" borderId="23" xfId="0" applyFont="1" applyFill="1" applyBorder="1"/>
    <xf numFmtId="168" fontId="6" fillId="9" borderId="24" xfId="0" applyNumberFormat="1" applyFont="1" applyFill="1" applyBorder="1" applyAlignment="1">
      <alignment horizontal="right"/>
    </xf>
    <xf numFmtId="0" fontId="7" fillId="0" borderId="26" xfId="0" applyFont="1" applyBorder="1" applyAlignment="1">
      <alignment wrapText="1"/>
    </xf>
    <xf numFmtId="0" fontId="9" fillId="0" borderId="18" xfId="0" applyFont="1" applyBorder="1" applyAlignment="1">
      <alignment wrapText="1"/>
    </xf>
    <xf numFmtId="9" fontId="9" fillId="0" borderId="1" xfId="4" applyFont="1" applyBorder="1" applyAlignment="1">
      <alignment horizontal="right" wrapText="1"/>
    </xf>
    <xf numFmtId="0" fontId="9" fillId="0" borderId="10" xfId="0" applyFont="1" applyBorder="1" applyAlignment="1">
      <alignment wrapText="1"/>
    </xf>
    <xf numFmtId="9" fontId="9" fillId="0" borderId="11" xfId="4" applyFont="1" applyBorder="1" applyAlignment="1">
      <alignment horizontal="right" wrapText="1"/>
    </xf>
    <xf numFmtId="0" fontId="7" fillId="0" borderId="0" xfId="0" applyFont="1" applyBorder="1" applyAlignment="1">
      <alignment wrapText="1"/>
    </xf>
    <xf numFmtId="9" fontId="7" fillId="0" borderId="0" xfId="4" applyFont="1" applyBorder="1" applyAlignment="1">
      <alignment horizontal="right" wrapText="1"/>
    </xf>
    <xf numFmtId="166" fontId="7" fillId="0" borderId="0" xfId="1" applyNumberFormat="1" applyFont="1" applyAlignment="1">
      <alignment wrapText="1"/>
    </xf>
    <xf numFmtId="9" fontId="7" fillId="0" borderId="0" xfId="4" applyNumberFormat="1" applyFont="1"/>
    <xf numFmtId="0" fontId="7" fillId="0" borderId="7" xfId="0" applyFont="1" applyBorder="1"/>
    <xf numFmtId="0" fontId="7" fillId="0" borderId="18" xfId="0" applyFont="1" applyBorder="1"/>
    <xf numFmtId="166" fontId="7" fillId="5" borderId="19" xfId="1" applyNumberFormat="1" applyFont="1" applyFill="1" applyBorder="1"/>
    <xf numFmtId="172" fontId="7" fillId="0" borderId="0" xfId="4" applyNumberFormat="1" applyFont="1"/>
    <xf numFmtId="0" fontId="18" fillId="0" borderId="0" xfId="0" applyFont="1"/>
    <xf numFmtId="0" fontId="6" fillId="9" borderId="24" xfId="0" applyFont="1" applyFill="1" applyBorder="1" applyAlignment="1">
      <alignment horizontal="right"/>
    </xf>
    <xf numFmtId="0" fontId="6" fillId="9" borderId="25" xfId="0" applyFont="1" applyFill="1" applyBorder="1" applyAlignment="1">
      <alignment horizontal="right"/>
    </xf>
    <xf numFmtId="170" fontId="7" fillId="0" borderId="1" xfId="1" applyNumberFormat="1" applyFont="1" applyBorder="1" applyAlignment="1">
      <alignment horizontal="right" wrapText="1"/>
    </xf>
    <xf numFmtId="9" fontId="7" fillId="5" borderId="19" xfId="4" applyFont="1" applyFill="1" applyBorder="1"/>
    <xf numFmtId="9" fontId="7" fillId="0" borderId="1" xfId="4" applyNumberFormat="1" applyFont="1" applyFill="1" applyBorder="1" applyAlignment="1">
      <alignment horizontal="center"/>
    </xf>
    <xf numFmtId="9" fontId="7" fillId="0" borderId="19" xfId="4" applyNumberFormat="1" applyFont="1" applyFill="1" applyBorder="1" applyAlignment="1">
      <alignment horizontal="center"/>
    </xf>
    <xf numFmtId="9" fontId="9" fillId="0" borderId="1" xfId="4" applyNumberFormat="1" applyFont="1" applyFill="1" applyBorder="1" applyAlignment="1">
      <alignment horizontal="center"/>
    </xf>
    <xf numFmtId="9" fontId="9" fillId="0" borderId="19" xfId="4" applyNumberFormat="1" applyFont="1" applyFill="1" applyBorder="1" applyAlignment="1">
      <alignment horizontal="center"/>
    </xf>
    <xf numFmtId="9" fontId="9" fillId="0" borderId="11" xfId="4" applyNumberFormat="1" applyFont="1" applyFill="1" applyBorder="1" applyAlignment="1">
      <alignment horizontal="center"/>
    </xf>
    <xf numFmtId="9" fontId="9" fillId="0" borderId="12" xfId="4" applyNumberFormat="1" applyFont="1" applyFill="1" applyBorder="1" applyAlignment="1">
      <alignment horizontal="center"/>
    </xf>
    <xf numFmtId="167" fontId="7" fillId="5" borderId="19" xfId="1" applyNumberFormat="1" applyFont="1" applyFill="1" applyBorder="1"/>
    <xf numFmtId="9" fontId="10" fillId="4" borderId="9" xfId="0" applyNumberFormat="1" applyFont="1" applyFill="1" applyBorder="1"/>
    <xf numFmtId="167" fontId="10" fillId="4" borderId="19" xfId="1" applyNumberFormat="1" applyFont="1" applyFill="1" applyBorder="1"/>
    <xf numFmtId="0" fontId="9" fillId="0" borderId="1" xfId="0" applyFont="1" applyBorder="1"/>
    <xf numFmtId="0" fontId="6" fillId="0" borderId="1" xfId="0" applyFont="1" applyBorder="1"/>
    <xf numFmtId="165" fontId="8" fillId="3" borderId="1" xfId="0" applyNumberFormat="1" applyFont="1" applyFill="1" applyBorder="1" applyAlignment="1">
      <alignment horizontal="center"/>
    </xf>
    <xf numFmtId="9" fontId="6" fillId="9" borderId="1" xfId="0" applyNumberFormat="1" applyFont="1" applyFill="1" applyBorder="1"/>
    <xf numFmtId="9" fontId="7" fillId="0" borderId="1" xfId="0" applyNumberFormat="1" applyFont="1" applyBorder="1"/>
    <xf numFmtId="9" fontId="7" fillId="9" borderId="1" xfId="4" applyFont="1" applyFill="1" applyBorder="1"/>
    <xf numFmtId="9" fontId="9" fillId="0" borderId="1" xfId="4" applyFont="1" applyBorder="1"/>
    <xf numFmtId="170" fontId="6" fillId="0" borderId="1" xfId="1" applyNumberFormat="1" applyFont="1" applyBorder="1"/>
    <xf numFmtId="170" fontId="9" fillId="0" borderId="1" xfId="0" applyNumberFormat="1" applyFont="1" applyBorder="1"/>
    <xf numFmtId="166" fontId="7" fillId="9" borderId="19" xfId="1" applyNumberFormat="1" applyFont="1" applyFill="1" applyBorder="1"/>
    <xf numFmtId="0" fontId="8" fillId="3" borderId="27" xfId="0" applyFont="1" applyFill="1" applyBorder="1"/>
    <xf numFmtId="165" fontId="8" fillId="3" borderId="24" xfId="0" applyNumberFormat="1" applyFont="1" applyFill="1" applyBorder="1" applyAlignment="1">
      <alignment horizontal="center"/>
    </xf>
    <xf numFmtId="165" fontId="8" fillId="3" borderId="2" xfId="0" applyNumberFormat="1" applyFont="1" applyFill="1" applyBorder="1" applyAlignment="1">
      <alignment horizontal="center"/>
    </xf>
    <xf numFmtId="0" fontId="6" fillId="0" borderId="6" xfId="0" applyFont="1" applyBorder="1"/>
    <xf numFmtId="170" fontId="6" fillId="0" borderId="4" xfId="1" applyNumberFormat="1" applyFont="1" applyBorder="1"/>
    <xf numFmtId="0" fontId="9" fillId="0" borderId="6" xfId="0" applyFont="1" applyBorder="1"/>
    <xf numFmtId="43" fontId="9" fillId="0" borderId="1" xfId="1" applyFont="1" applyBorder="1"/>
    <xf numFmtId="9" fontId="9" fillId="0" borderId="4" xfId="4" applyFont="1" applyBorder="1"/>
    <xf numFmtId="0" fontId="7" fillId="0" borderId="6" xfId="0" applyFont="1" applyBorder="1"/>
    <xf numFmtId="170" fontId="7" fillId="0" borderId="4" xfId="1" applyNumberFormat="1" applyFont="1" applyBorder="1"/>
    <xf numFmtId="0" fontId="9" fillId="0" borderId="28" xfId="0" applyFont="1" applyFill="1" applyBorder="1"/>
    <xf numFmtId="9" fontId="9" fillId="0" borderId="29" xfId="4" applyFont="1" applyBorder="1"/>
    <xf numFmtId="9" fontId="9" fillId="0" borderId="30" xfId="4" applyFont="1" applyBorder="1"/>
    <xf numFmtId="0" fontId="19" fillId="0" borderId="0" xfId="0" applyFont="1" applyBorder="1"/>
    <xf numFmtId="0" fontId="20" fillId="0" borderId="0" xfId="0" applyFont="1" applyBorder="1"/>
    <xf numFmtId="0" fontId="21" fillId="3" borderId="7" xfId="0" applyFont="1" applyFill="1" applyBorder="1"/>
    <xf numFmtId="165" fontId="21" fillId="3" borderId="8" xfId="0" applyNumberFormat="1" applyFont="1" applyFill="1" applyBorder="1" applyAlignment="1">
      <alignment horizontal="center"/>
    </xf>
    <xf numFmtId="0" fontId="21" fillId="3" borderId="9" xfId="0" applyFont="1" applyFill="1" applyBorder="1" applyAlignment="1">
      <alignment horizontal="center"/>
    </xf>
    <xf numFmtId="0" fontId="20" fillId="0" borderId="0" xfId="0" applyFont="1" applyFill="1" applyBorder="1"/>
    <xf numFmtId="0" fontId="20" fillId="0" borderId="18" xfId="0" applyFont="1" applyBorder="1"/>
    <xf numFmtId="170" fontId="20" fillId="0" borderId="1" xfId="1" applyNumberFormat="1" applyFont="1" applyBorder="1"/>
    <xf numFmtId="170" fontId="20" fillId="0" borderId="19" xfId="1" applyNumberFormat="1" applyFont="1" applyBorder="1"/>
    <xf numFmtId="0" fontId="22" fillId="9" borderId="18" xfId="0" applyFont="1" applyFill="1" applyBorder="1"/>
    <xf numFmtId="43" fontId="20" fillId="9" borderId="1" xfId="1" applyFont="1" applyFill="1" applyBorder="1"/>
    <xf numFmtId="9" fontId="22" fillId="9" borderId="1" xfId="4" applyFont="1" applyFill="1" applyBorder="1"/>
    <xf numFmtId="9" fontId="22" fillId="9" borderId="19" xfId="4" applyFont="1" applyFill="1" applyBorder="1"/>
    <xf numFmtId="0" fontId="19" fillId="0" borderId="18" xfId="0" applyFont="1" applyBorder="1"/>
    <xf numFmtId="170" fontId="19" fillId="0" borderId="1" xfId="1" applyNumberFormat="1" applyFont="1" applyBorder="1"/>
    <xf numFmtId="170" fontId="19" fillId="0" borderId="19" xfId="1" applyNumberFormat="1" applyFont="1" applyBorder="1"/>
    <xf numFmtId="43" fontId="22" fillId="0" borderId="18" xfId="1" applyFont="1" applyBorder="1" applyAlignment="1">
      <alignment horizontal="left" indent="1"/>
    </xf>
    <xf numFmtId="9" fontId="22" fillId="0" borderId="1" xfId="4" applyFont="1" applyBorder="1"/>
    <xf numFmtId="9" fontId="22" fillId="0" borderId="19" xfId="4" applyFont="1" applyBorder="1"/>
    <xf numFmtId="171" fontId="22" fillId="9" borderId="1" xfId="1" applyNumberFormat="1" applyFont="1" applyFill="1" applyBorder="1"/>
    <xf numFmtId="171" fontId="22" fillId="9" borderId="19" xfId="1" applyNumberFormat="1" applyFont="1" applyFill="1" applyBorder="1"/>
    <xf numFmtId="170" fontId="22" fillId="9" borderId="1" xfId="1" applyNumberFormat="1" applyFont="1" applyFill="1" applyBorder="1"/>
    <xf numFmtId="170" fontId="22" fillId="9" borderId="19" xfId="1" applyNumberFormat="1" applyFont="1" applyFill="1" applyBorder="1"/>
    <xf numFmtId="169" fontId="19" fillId="0" borderId="1" xfId="1" applyNumberFormat="1" applyFont="1" applyBorder="1"/>
    <xf numFmtId="169" fontId="19" fillId="0" borderId="19" xfId="1" applyNumberFormat="1" applyFont="1" applyBorder="1"/>
    <xf numFmtId="169" fontId="19" fillId="9" borderId="1" xfId="1" applyNumberFormat="1" applyFont="1" applyFill="1" applyBorder="1"/>
    <xf numFmtId="169" fontId="19" fillId="9" borderId="19" xfId="1" applyNumberFormat="1" applyFont="1" applyFill="1" applyBorder="1"/>
    <xf numFmtId="171" fontId="19" fillId="0" borderId="1" xfId="0" applyNumberFormat="1" applyFont="1" applyBorder="1"/>
    <xf numFmtId="10" fontId="19" fillId="0" borderId="19" xfId="0" applyNumberFormat="1" applyFont="1" applyBorder="1"/>
    <xf numFmtId="170" fontId="19" fillId="0" borderId="0" xfId="0" applyNumberFormat="1" applyFont="1" applyBorder="1"/>
    <xf numFmtId="165" fontId="21" fillId="3" borderId="1" xfId="0" applyNumberFormat="1" applyFont="1" applyFill="1" applyBorder="1" applyAlignment="1">
      <alignment horizontal="center"/>
    </xf>
    <xf numFmtId="0" fontId="19" fillId="0" borderId="1" xfId="0" applyFont="1" applyBorder="1"/>
    <xf numFmtId="171" fontId="19" fillId="9" borderId="1" xfId="0" applyNumberFormat="1" applyFont="1" applyFill="1" applyBorder="1"/>
    <xf numFmtId="0" fontId="24" fillId="0" borderId="0" xfId="0" applyFont="1"/>
    <xf numFmtId="0" fontId="23" fillId="9" borderId="4" xfId="0" applyFont="1" applyFill="1" applyBorder="1" applyAlignment="1">
      <alignment horizontal="center"/>
    </xf>
    <xf numFmtId="0" fontId="23" fillId="9" borderId="5" xfId="0" applyFont="1" applyFill="1" applyBorder="1" applyAlignment="1">
      <alignment horizontal="center"/>
    </xf>
    <xf numFmtId="0" fontId="23" fillId="9" borderId="6" xfId="0" applyFont="1" applyFill="1" applyBorder="1" applyAlignment="1">
      <alignment horizontal="center"/>
    </xf>
    <xf numFmtId="170" fontId="24" fillId="0" borderId="1" xfId="1" applyNumberFormat="1" applyFont="1" applyBorder="1"/>
    <xf numFmtId="0" fontId="18" fillId="0" borderId="0" xfId="0" applyFont="1" applyAlignment="1">
      <alignment horizontal="left"/>
    </xf>
    <xf numFmtId="0" fontId="6" fillId="9" borderId="18" xfId="0" applyFont="1" applyFill="1" applyBorder="1" applyAlignment="1">
      <alignment horizontal="left"/>
    </xf>
    <xf numFmtId="9" fontId="6" fillId="9" borderId="19" xfId="4" applyFont="1" applyFill="1" applyBorder="1" applyAlignment="1">
      <alignment horizontal="right"/>
    </xf>
    <xf numFmtId="9" fontId="7" fillId="0" borderId="19" xfId="4" applyFont="1" applyFill="1" applyBorder="1" applyAlignment="1">
      <alignment horizontal="left"/>
    </xf>
    <xf numFmtId="166" fontId="7" fillId="0" borderId="19" xfId="1" applyNumberFormat="1" applyFont="1" applyFill="1" applyBorder="1" applyAlignment="1">
      <alignment horizontal="left"/>
    </xf>
    <xf numFmtId="167" fontId="7" fillId="0" borderId="19" xfId="1" applyNumberFormat="1" applyFont="1" applyFill="1" applyBorder="1" applyAlignment="1">
      <alignment horizontal="left"/>
    </xf>
    <xf numFmtId="171" fontId="7" fillId="0" borderId="19" xfId="4" applyNumberFormat="1" applyFont="1" applyFill="1" applyBorder="1" applyAlignment="1">
      <alignment horizontal="right"/>
    </xf>
    <xf numFmtId="167" fontId="7" fillId="0" borderId="19" xfId="1" applyNumberFormat="1" applyFont="1" applyFill="1" applyBorder="1" applyAlignment="1">
      <alignment horizontal="left" indent="1"/>
    </xf>
    <xf numFmtId="171" fontId="7" fillId="0" borderId="19" xfId="4" applyNumberFormat="1" applyFont="1" applyFill="1" applyBorder="1" applyAlignment="1"/>
    <xf numFmtId="169" fontId="7" fillId="0" borderId="19" xfId="1" applyNumberFormat="1" applyFont="1" applyFill="1" applyBorder="1" applyAlignment="1"/>
    <xf numFmtId="0" fontId="11" fillId="0" borderId="10" xfId="0" applyFont="1" applyBorder="1" applyAlignment="1">
      <alignment horizontal="left"/>
    </xf>
    <xf numFmtId="169" fontId="7" fillId="0" borderId="12" xfId="1" applyNumberFormat="1" applyFont="1" applyFill="1" applyBorder="1" applyAlignment="1"/>
    <xf numFmtId="0" fontId="14" fillId="0" borderId="0" xfId="0" applyFont="1" applyAlignment="1">
      <alignment horizontal="left"/>
    </xf>
    <xf numFmtId="165" fontId="8" fillId="3" borderId="18" xfId="1" applyNumberFormat="1" applyFont="1" applyFill="1" applyBorder="1"/>
    <xf numFmtId="165" fontId="8" fillId="3" borderId="19" xfId="0" applyNumberFormat="1" applyFont="1" applyFill="1" applyBorder="1" applyAlignment="1">
      <alignment horizontal="center"/>
    </xf>
    <xf numFmtId="9" fontId="7" fillId="0" borderId="18" xfId="4" applyFont="1" applyBorder="1"/>
    <xf numFmtId="9" fontId="7" fillId="0" borderId="19" xfId="4" applyFont="1" applyBorder="1"/>
    <xf numFmtId="9" fontId="6" fillId="9" borderId="18" xfId="4" applyFont="1" applyFill="1" applyBorder="1"/>
    <xf numFmtId="9" fontId="6" fillId="9" borderId="19" xfId="0" applyNumberFormat="1" applyFont="1" applyFill="1" applyBorder="1"/>
    <xf numFmtId="9" fontId="7" fillId="0" borderId="20" xfId="4" applyFont="1" applyBorder="1"/>
    <xf numFmtId="0" fontId="7" fillId="0" borderId="21" xfId="0" applyFont="1" applyBorder="1"/>
    <xf numFmtId="0" fontId="7" fillId="0" borderId="22" xfId="0" applyFont="1" applyBorder="1"/>
    <xf numFmtId="9" fontId="7" fillId="0" borderId="19" xfId="0" applyNumberFormat="1" applyFont="1" applyBorder="1"/>
    <xf numFmtId="9" fontId="7" fillId="9" borderId="18" xfId="4" applyFont="1" applyFill="1" applyBorder="1"/>
    <xf numFmtId="9" fontId="7" fillId="9" borderId="19" xfId="4" applyFont="1" applyFill="1" applyBorder="1"/>
    <xf numFmtId="9" fontId="7" fillId="0" borderId="10" xfId="4" applyFont="1" applyBorder="1"/>
    <xf numFmtId="9" fontId="7" fillId="0" borderId="11" xfId="4" applyFont="1" applyBorder="1"/>
    <xf numFmtId="9" fontId="7" fillId="0" borderId="12" xfId="4" applyFont="1" applyBorder="1"/>
    <xf numFmtId="0" fontId="25" fillId="0" borderId="0" xfId="0" applyFont="1" applyBorder="1"/>
    <xf numFmtId="0" fontId="26" fillId="0" borderId="0" xfId="0" applyFont="1" applyBorder="1"/>
    <xf numFmtId="0" fontId="26" fillId="0" borderId="0" xfId="0" applyFont="1" applyFill="1" applyBorder="1"/>
    <xf numFmtId="170" fontId="26" fillId="0" borderId="1" xfId="1" applyNumberFormat="1" applyFont="1" applyBorder="1" applyAlignment="1">
      <alignment horizontal="center"/>
    </xf>
    <xf numFmtId="170" fontId="25" fillId="0" borderId="1" xfId="1" applyNumberFormat="1" applyFont="1" applyBorder="1" applyAlignment="1">
      <alignment horizontal="center"/>
    </xf>
    <xf numFmtId="170" fontId="26" fillId="0" borderId="1" xfId="1" applyNumberFormat="1" applyFont="1" applyBorder="1"/>
    <xf numFmtId="170" fontId="26" fillId="0" borderId="0" xfId="1" applyNumberFormat="1" applyFont="1" applyBorder="1"/>
    <xf numFmtId="170" fontId="29" fillId="9" borderId="1" xfId="1" applyNumberFormat="1" applyFont="1" applyFill="1" applyBorder="1"/>
    <xf numFmtId="169" fontId="29" fillId="9" borderId="1" xfId="1" applyNumberFormat="1" applyFont="1" applyFill="1" applyBorder="1"/>
    <xf numFmtId="9" fontId="29" fillId="9" borderId="1" xfId="4" applyFont="1" applyFill="1" applyBorder="1"/>
    <xf numFmtId="0" fontId="30" fillId="0" borderId="0" xfId="0" applyFont="1" applyBorder="1"/>
    <xf numFmtId="0" fontId="30" fillId="0" borderId="0" xfId="0" applyFont="1" applyBorder="1" applyAlignment="1">
      <alignment wrapText="1"/>
    </xf>
    <xf numFmtId="165" fontId="27" fillId="3" borderId="24" xfId="0" applyNumberFormat="1" applyFont="1" applyFill="1" applyBorder="1" applyAlignment="1">
      <alignment horizontal="center"/>
    </xf>
    <xf numFmtId="0" fontId="27" fillId="3" borderId="23" xfId="0" applyFont="1" applyFill="1" applyBorder="1"/>
    <xf numFmtId="165" fontId="27" fillId="3" borderId="25" xfId="0" applyNumberFormat="1" applyFont="1" applyFill="1" applyBorder="1" applyAlignment="1">
      <alignment horizontal="center"/>
    </xf>
    <xf numFmtId="0" fontId="26" fillId="0" borderId="18" xfId="0" applyFont="1" applyBorder="1"/>
    <xf numFmtId="170" fontId="26" fillId="0" borderId="19" xfId="1" applyNumberFormat="1" applyFont="1" applyBorder="1" applyAlignment="1">
      <alignment horizontal="center"/>
    </xf>
    <xf numFmtId="0" fontId="25" fillId="0" borderId="18" xfId="0" applyFont="1" applyBorder="1"/>
    <xf numFmtId="170" fontId="25" fillId="0" borderId="19" xfId="1" applyNumberFormat="1" applyFont="1" applyBorder="1" applyAlignment="1">
      <alignment horizontal="center"/>
    </xf>
    <xf numFmtId="170" fontId="26" fillId="0" borderId="19" xfId="1" applyNumberFormat="1" applyFont="1" applyBorder="1"/>
    <xf numFmtId="0" fontId="26" fillId="0" borderId="18" xfId="0" applyFont="1" applyFill="1" applyBorder="1"/>
    <xf numFmtId="0" fontId="28" fillId="4" borderId="10" xfId="0" applyFont="1" applyFill="1" applyBorder="1"/>
    <xf numFmtId="0" fontId="29" fillId="9" borderId="7" xfId="0" applyFont="1" applyFill="1" applyBorder="1"/>
    <xf numFmtId="170" fontId="29" fillId="9" borderId="8" xfId="1" applyNumberFormat="1" applyFont="1" applyFill="1" applyBorder="1"/>
    <xf numFmtId="170" fontId="29" fillId="9" borderId="9" xfId="1" applyNumberFormat="1" applyFont="1" applyFill="1" applyBorder="1"/>
    <xf numFmtId="0" fontId="29" fillId="9" borderId="18" xfId="0" applyFont="1" applyFill="1" applyBorder="1"/>
    <xf numFmtId="170" fontId="29" fillId="9" borderId="19" xfId="1" applyNumberFormat="1" applyFont="1" applyFill="1" applyBorder="1"/>
    <xf numFmtId="169" fontId="29" fillId="9" borderId="19" xfId="1" applyNumberFormat="1" applyFont="1" applyFill="1" applyBorder="1"/>
    <xf numFmtId="9" fontId="29" fillId="9" borderId="19" xfId="4" applyFont="1" applyFill="1" applyBorder="1"/>
    <xf numFmtId="0" fontId="29" fillId="9" borderId="10" xfId="0" applyFont="1" applyFill="1" applyBorder="1"/>
    <xf numFmtId="0" fontId="8" fillId="3" borderId="18" xfId="0" applyFont="1" applyFill="1" applyBorder="1"/>
    <xf numFmtId="0" fontId="6" fillId="0" borderId="18" xfId="0" applyFont="1" applyBorder="1"/>
    <xf numFmtId="170" fontId="6" fillId="0" borderId="17" xfId="1" applyNumberFormat="1" applyFont="1" applyBorder="1"/>
    <xf numFmtId="0" fontId="9" fillId="0" borderId="18" xfId="0" applyFont="1" applyFill="1" applyBorder="1"/>
    <xf numFmtId="170" fontId="9" fillId="0" borderId="17" xfId="1" applyNumberFormat="1" applyFont="1" applyBorder="1"/>
    <xf numFmtId="170" fontId="17" fillId="0" borderId="17" xfId="1" applyNumberFormat="1" applyFont="1" applyBorder="1"/>
    <xf numFmtId="0" fontId="9" fillId="0" borderId="18" xfId="0" applyFont="1" applyBorder="1"/>
    <xf numFmtId="170" fontId="7" fillId="0" borderId="17" xfId="1" applyNumberFormat="1" applyFont="1" applyBorder="1"/>
    <xf numFmtId="0" fontId="9" fillId="0" borderId="10" xfId="0" applyFont="1" applyBorder="1"/>
    <xf numFmtId="9" fontId="9" fillId="0" borderId="11" xfId="4" applyFont="1" applyBorder="1"/>
    <xf numFmtId="170" fontId="7" fillId="0" borderId="22" xfId="1" applyNumberFormat="1" applyFont="1" applyBorder="1"/>
    <xf numFmtId="0" fontId="31" fillId="0" borderId="0" xfId="0" applyFont="1" applyAlignment="1">
      <alignment wrapText="1"/>
    </xf>
    <xf numFmtId="0" fontId="32" fillId="0" borderId="0" xfId="2" applyFont="1" applyFill="1" applyBorder="1" applyAlignment="1" applyProtection="1">
      <alignment horizontal="center" wrapText="1"/>
    </xf>
    <xf numFmtId="0" fontId="31" fillId="0" borderId="0" xfId="0" applyFont="1" applyFill="1" applyBorder="1" applyAlignment="1">
      <alignment wrapText="1"/>
    </xf>
    <xf numFmtId="0" fontId="31" fillId="0" borderId="0" xfId="0" applyFont="1" applyFill="1" applyAlignment="1">
      <alignment wrapText="1"/>
    </xf>
    <xf numFmtId="0" fontId="33" fillId="8" borderId="31" xfId="0" applyFont="1" applyFill="1" applyBorder="1" applyAlignment="1">
      <alignment horizontal="center" wrapText="1"/>
    </xf>
    <xf numFmtId="0" fontId="31" fillId="0" borderId="32" xfId="0" applyFont="1" applyBorder="1" applyAlignment="1">
      <alignment wrapText="1"/>
    </xf>
    <xf numFmtId="0" fontId="35" fillId="0" borderId="0" xfId="0" applyFont="1" applyAlignment="1">
      <alignment wrapText="1"/>
    </xf>
    <xf numFmtId="0" fontId="0" fillId="0" borderId="32" xfId="0" applyFont="1" applyBorder="1" applyAlignment="1">
      <alignment wrapText="1"/>
    </xf>
    <xf numFmtId="170" fontId="9" fillId="0" borderId="4" xfId="0" applyNumberFormat="1" applyFont="1" applyBorder="1" applyAlignment="1">
      <alignment horizontal="center"/>
    </xf>
    <xf numFmtId="170" fontId="17" fillId="0" borderId="1" xfId="1" applyNumberFormat="1" applyFont="1" applyBorder="1"/>
    <xf numFmtId="0" fontId="17" fillId="0" borderId="0" xfId="0" applyFont="1" applyBorder="1"/>
    <xf numFmtId="9" fontId="9" fillId="0" borderId="5" xfId="4" applyFont="1" applyBorder="1" applyAlignment="1">
      <alignment horizontal="center"/>
    </xf>
    <xf numFmtId="9" fontId="26" fillId="9" borderId="11" xfId="4" applyFont="1" applyFill="1" applyBorder="1"/>
    <xf numFmtId="9" fontId="26" fillId="9" borderId="12" xfId="4" applyFont="1" applyFill="1" applyBorder="1"/>
    <xf numFmtId="168" fontId="8" fillId="3" borderId="1" xfId="0" applyNumberFormat="1" applyFont="1" applyFill="1" applyBorder="1"/>
    <xf numFmtId="171" fontId="7" fillId="0" borderId="1" xfId="4" applyNumberFormat="1" applyFont="1" applyBorder="1"/>
    <xf numFmtId="171" fontId="7" fillId="0" borderId="1" xfId="0" applyNumberFormat="1" applyFont="1" applyBorder="1"/>
    <xf numFmtId="169" fontId="7" fillId="0" borderId="1" xfId="1" applyNumberFormat="1" applyFont="1" applyBorder="1"/>
    <xf numFmtId="0" fontId="10" fillId="3" borderId="18" xfId="0" applyFont="1" applyFill="1" applyBorder="1"/>
    <xf numFmtId="168" fontId="8" fillId="3" borderId="19" xfId="0" applyNumberFormat="1" applyFont="1" applyFill="1" applyBorder="1"/>
    <xf numFmtId="171" fontId="7" fillId="0" borderId="19" xfId="4" applyNumberFormat="1" applyFont="1" applyBorder="1"/>
    <xf numFmtId="0" fontId="7" fillId="0" borderId="19" xfId="0" applyFont="1" applyBorder="1"/>
    <xf numFmtId="171" fontId="7" fillId="0" borderId="19" xfId="0" applyNumberFormat="1" applyFont="1" applyBorder="1"/>
    <xf numFmtId="169" fontId="7" fillId="0" borderId="19" xfId="1" applyNumberFormat="1" applyFont="1" applyBorder="1"/>
    <xf numFmtId="0" fontId="7" fillId="0" borderId="10" xfId="0" applyFont="1" applyBorder="1"/>
    <xf numFmtId="170" fontId="7" fillId="0" borderId="11" xfId="1" applyNumberFormat="1" applyFont="1" applyBorder="1"/>
    <xf numFmtId="170" fontId="7" fillId="0" borderId="12" xfId="1" applyNumberFormat="1" applyFont="1" applyBorder="1"/>
    <xf numFmtId="0" fontId="36" fillId="0" borderId="0" xfId="0" applyFont="1"/>
    <xf numFmtId="0" fontId="37" fillId="0" borderId="0" xfId="0" applyFont="1"/>
    <xf numFmtId="168" fontId="36" fillId="0" borderId="0" xfId="0" applyNumberFormat="1" applyFont="1"/>
    <xf numFmtId="168" fontId="37" fillId="0" borderId="0" xfId="0" applyNumberFormat="1" applyFont="1"/>
    <xf numFmtId="9" fontId="36" fillId="0" borderId="0" xfId="4" applyFont="1"/>
    <xf numFmtId="170" fontId="36" fillId="0" borderId="0" xfId="1" applyNumberFormat="1" applyFont="1"/>
    <xf numFmtId="0" fontId="6" fillId="7" borderId="1" xfId="0" applyFont="1" applyFill="1" applyBorder="1"/>
    <xf numFmtId="0" fontId="7" fillId="0" borderId="32" xfId="0" applyFont="1" applyBorder="1" applyAlignment="1">
      <alignment wrapText="1"/>
    </xf>
    <xf numFmtId="170" fontId="9" fillId="0" borderId="4" xfId="0" applyNumberFormat="1" applyFont="1" applyBorder="1" applyAlignment="1">
      <alignment horizontal="center"/>
    </xf>
    <xf numFmtId="0" fontId="38" fillId="0" borderId="0" xfId="0" applyFont="1" applyAlignment="1">
      <alignment horizontal="left"/>
    </xf>
    <xf numFmtId="0" fontId="38" fillId="7" borderId="0" xfId="0" applyFont="1" applyFill="1" applyAlignment="1">
      <alignment horizontal="center"/>
    </xf>
    <xf numFmtId="0" fontId="39" fillId="5" borderId="18" xfId="0" applyFont="1" applyFill="1" applyBorder="1"/>
    <xf numFmtId="170" fontId="39" fillId="5" borderId="1" xfId="1" applyNumberFormat="1" applyFont="1" applyFill="1" applyBorder="1"/>
    <xf numFmtId="0" fontId="6" fillId="9" borderId="1" xfId="0" applyFont="1" applyFill="1" applyBorder="1"/>
    <xf numFmtId="0" fontId="7" fillId="9" borderId="1" xfId="0" applyFont="1" applyFill="1" applyBorder="1"/>
    <xf numFmtId="0" fontId="7" fillId="0" borderId="18" xfId="0" applyFont="1" applyFill="1" applyBorder="1"/>
    <xf numFmtId="0" fontId="39" fillId="0" borderId="1" xfId="0" applyFont="1" applyBorder="1"/>
    <xf numFmtId="0" fontId="17" fillId="0" borderId="18" xfId="0" applyFont="1" applyBorder="1"/>
    <xf numFmtId="170" fontId="6" fillId="0" borderId="0" xfId="1" applyNumberFormat="1" applyFont="1" applyBorder="1"/>
    <xf numFmtId="9" fontId="9" fillId="0" borderId="1" xfId="4" applyFont="1" applyBorder="1" applyAlignment="1">
      <alignment horizontal="center"/>
    </xf>
    <xf numFmtId="171" fontId="8" fillId="4" borderId="1" xfId="0" applyNumberFormat="1" applyFont="1" applyFill="1" applyBorder="1"/>
    <xf numFmtId="166" fontId="7" fillId="0" borderId="1" xfId="0" applyNumberFormat="1" applyFont="1" applyBorder="1"/>
    <xf numFmtId="43" fontId="6" fillId="9" borderId="1" xfId="0" applyNumberFormat="1" applyFont="1" applyFill="1" applyBorder="1"/>
    <xf numFmtId="0" fontId="5" fillId="6" borderId="0" xfId="0" applyFont="1" applyFill="1" applyBorder="1" applyAlignment="1">
      <alignment horizontal="center"/>
    </xf>
    <xf numFmtId="0" fontId="38" fillId="0" borderId="1" xfId="0" applyFont="1" applyBorder="1"/>
    <xf numFmtId="169" fontId="38" fillId="0" borderId="1" xfId="0" applyNumberFormat="1" applyFont="1" applyBorder="1"/>
    <xf numFmtId="0" fontId="38" fillId="0" borderId="0" xfId="0" applyFont="1" applyBorder="1"/>
    <xf numFmtId="169" fontId="38" fillId="0" borderId="0" xfId="0" applyNumberFormat="1" applyFont="1" applyBorder="1"/>
    <xf numFmtId="0" fontId="40" fillId="7" borderId="0" xfId="0" applyFont="1" applyFill="1"/>
    <xf numFmtId="0" fontId="40" fillId="7" borderId="0" xfId="0" applyFont="1" applyFill="1" applyBorder="1"/>
    <xf numFmtId="0" fontId="11" fillId="0" borderId="1" xfId="2" applyFont="1" applyBorder="1" applyAlignment="1" applyProtection="1"/>
    <xf numFmtId="0" fontId="7" fillId="0" borderId="3" xfId="0" applyFont="1" applyBorder="1"/>
    <xf numFmtId="0" fontId="41" fillId="0" borderId="0" xfId="0" applyFont="1"/>
    <xf numFmtId="0" fontId="5" fillId="6" borderId="5" xfId="0" applyFont="1" applyFill="1" applyBorder="1" applyAlignment="1">
      <alignment horizontal="center"/>
    </xf>
    <xf numFmtId="0" fontId="9" fillId="5" borderId="18" xfId="0" applyFont="1" applyFill="1" applyBorder="1"/>
    <xf numFmtId="0" fontId="17" fillId="5" borderId="18" xfId="0" applyFont="1" applyFill="1" applyBorder="1"/>
    <xf numFmtId="170" fontId="9" fillId="5" borderId="1" xfId="1" applyNumberFormat="1" applyFont="1" applyFill="1" applyBorder="1"/>
    <xf numFmtId="170" fontId="7" fillId="0" borderId="1" xfId="0" applyNumberFormat="1" applyFont="1" applyBorder="1"/>
    <xf numFmtId="0" fontId="6" fillId="9" borderId="18" xfId="0" applyFont="1" applyFill="1" applyBorder="1"/>
    <xf numFmtId="170" fontId="7" fillId="5" borderId="1" xfId="1" applyNumberFormat="1" applyFont="1" applyFill="1" applyBorder="1"/>
    <xf numFmtId="1" fontId="7" fillId="5" borderId="1" xfId="1" applyNumberFormat="1" applyFont="1" applyFill="1" applyBorder="1"/>
    <xf numFmtId="169" fontId="7" fillId="9" borderId="1" xfId="0" applyNumberFormat="1" applyFont="1" applyFill="1" applyBorder="1"/>
    <xf numFmtId="170" fontId="7" fillId="9" borderId="1" xfId="0" applyNumberFormat="1" applyFont="1" applyFill="1" applyBorder="1"/>
    <xf numFmtId="170" fontId="24" fillId="0" borderId="0" xfId="0" applyNumberFormat="1" applyFont="1"/>
    <xf numFmtId="43" fontId="24" fillId="0" borderId="0" xfId="0" applyNumberFormat="1" applyFont="1"/>
    <xf numFmtId="170" fontId="10" fillId="0" borderId="0" xfId="0" applyNumberFormat="1" applyFont="1"/>
    <xf numFmtId="0" fontId="18" fillId="0" borderId="18" xfId="0" applyFont="1" applyBorder="1" applyAlignment="1">
      <alignment horizontal="center"/>
    </xf>
    <xf numFmtId="0" fontId="18" fillId="0" borderId="19" xfId="0" applyFont="1" applyBorder="1" applyAlignment="1">
      <alignment horizontal="center"/>
    </xf>
    <xf numFmtId="0" fontId="18" fillId="0" borderId="16" xfId="0" applyFont="1" applyBorder="1" applyAlignment="1">
      <alignment horizontal="left"/>
    </xf>
    <xf numFmtId="0" fontId="18" fillId="0" borderId="17" xfId="0" applyFont="1" applyBorder="1" applyAlignment="1">
      <alignment horizontal="left"/>
    </xf>
    <xf numFmtId="0" fontId="38" fillId="0" borderId="18" xfId="0" applyFont="1" applyBorder="1" applyAlignment="1">
      <alignment horizontal="center"/>
    </xf>
    <xf numFmtId="0" fontId="38" fillId="9" borderId="10" xfId="0" applyFont="1" applyFill="1" applyBorder="1" applyAlignment="1">
      <alignment horizontal="center"/>
    </xf>
    <xf numFmtId="0" fontId="38" fillId="9" borderId="12" xfId="0" applyFont="1" applyFill="1" applyBorder="1" applyAlignment="1">
      <alignment horizontal="center"/>
    </xf>
    <xf numFmtId="0" fontId="38" fillId="0" borderId="7" xfId="0" applyFont="1" applyBorder="1" applyAlignment="1">
      <alignment horizontal="center"/>
    </xf>
    <xf numFmtId="0" fontId="18" fillId="0" borderId="9" xfId="0" applyFont="1" applyBorder="1" applyAlignment="1">
      <alignment horizontal="center"/>
    </xf>
    <xf numFmtId="170" fontId="10" fillId="4" borderId="11" xfId="1" applyNumberFormat="1" applyFont="1" applyFill="1" applyBorder="1"/>
    <xf numFmtId="170" fontId="10" fillId="4" borderId="12" xfId="1" applyNumberFormat="1" applyFont="1" applyFill="1" applyBorder="1"/>
    <xf numFmtId="0" fontId="10" fillId="4" borderId="1" xfId="0" applyFont="1" applyFill="1" applyBorder="1"/>
    <xf numFmtId="0" fontId="42" fillId="4" borderId="1" xfId="0" applyFont="1" applyFill="1" applyBorder="1" applyAlignment="1">
      <alignment horizontal="right" vertical="center" wrapText="1"/>
    </xf>
    <xf numFmtId="0" fontId="0" fillId="0" borderId="0" xfId="0" applyBorder="1"/>
    <xf numFmtId="0" fontId="0" fillId="0" borderId="17" xfId="0" applyBorder="1"/>
    <xf numFmtId="0" fontId="0" fillId="0" borderId="21" xfId="0" applyBorder="1"/>
    <xf numFmtId="0" fontId="0" fillId="0" borderId="22" xfId="0" applyBorder="1"/>
    <xf numFmtId="0" fontId="1" fillId="0" borderId="39" xfId="0" applyFont="1" applyBorder="1" applyAlignment="1">
      <alignment horizontal="center"/>
    </xf>
    <xf numFmtId="0" fontId="1" fillId="0" borderId="5" xfId="0" applyFont="1" applyBorder="1" applyAlignment="1">
      <alignment horizontal="center"/>
    </xf>
    <xf numFmtId="0" fontId="1" fillId="0" borderId="40" xfId="0" applyFont="1" applyBorder="1" applyAlignment="1">
      <alignment horizontal="center"/>
    </xf>
    <xf numFmtId="0" fontId="7" fillId="0" borderId="15" xfId="0" applyFont="1" applyBorder="1"/>
    <xf numFmtId="0" fontId="7" fillId="0" borderId="17" xfId="0" applyFont="1" applyBorder="1"/>
    <xf numFmtId="0" fontId="7" fillId="0" borderId="13" xfId="0" applyFont="1" applyBorder="1"/>
    <xf numFmtId="0" fontId="7" fillId="0" borderId="16" xfId="0" applyFont="1" applyBorder="1"/>
    <xf numFmtId="0" fontId="7" fillId="0" borderId="20" xfId="0" applyFont="1" applyBorder="1"/>
    <xf numFmtId="0" fontId="8" fillId="4" borderId="13" xfId="0" applyFont="1" applyFill="1" applyBorder="1"/>
    <xf numFmtId="0" fontId="8" fillId="4" borderId="16" xfId="0" applyFont="1" applyFill="1" applyBorder="1"/>
    <xf numFmtId="0" fontId="8" fillId="4" borderId="20" xfId="0" applyFont="1" applyFill="1" applyBorder="1"/>
    <xf numFmtId="0" fontId="7" fillId="0" borderId="42" xfId="0" applyFont="1" applyBorder="1"/>
    <xf numFmtId="9" fontId="7" fillId="0" borderId="43" xfId="0" applyNumberFormat="1" applyFont="1" applyBorder="1"/>
    <xf numFmtId="9" fontId="8" fillId="4" borderId="15" xfId="0" applyNumberFormat="1" applyFont="1" applyFill="1" applyBorder="1"/>
    <xf numFmtId="9" fontId="8" fillId="4" borderId="17" xfId="0" applyNumberFormat="1" applyFont="1" applyFill="1" applyBorder="1"/>
    <xf numFmtId="10" fontId="8" fillId="4" borderId="0" xfId="0" applyNumberFormat="1" applyFont="1" applyFill="1"/>
    <xf numFmtId="0" fontId="1" fillId="10" borderId="1" xfId="0" applyFont="1" applyFill="1" applyBorder="1" applyAlignment="1">
      <alignment horizontal="center"/>
    </xf>
    <xf numFmtId="9" fontId="0" fillId="11" borderId="1" xfId="4" applyFont="1" applyFill="1" applyBorder="1" applyAlignment="1">
      <alignment horizontal="center"/>
    </xf>
    <xf numFmtId="0" fontId="0" fillId="11" borderId="1" xfId="0" applyFill="1" applyBorder="1" applyAlignment="1">
      <alignment horizontal="center"/>
    </xf>
    <xf numFmtId="170" fontId="10" fillId="4" borderId="41" xfId="0" applyNumberFormat="1" applyFont="1" applyFill="1" applyBorder="1"/>
    <xf numFmtId="0" fontId="7" fillId="5" borderId="1" xfId="0" applyFont="1" applyFill="1" applyBorder="1"/>
    <xf numFmtId="171" fontId="6" fillId="0" borderId="1" xfId="0" applyNumberFormat="1" applyFont="1" applyBorder="1"/>
    <xf numFmtId="171" fontId="6" fillId="0" borderId="24" xfId="0" applyNumberFormat="1" applyFont="1" applyFill="1" applyBorder="1"/>
    <xf numFmtId="171" fontId="7" fillId="0" borderId="29" xfId="0" applyNumberFormat="1" applyFont="1" applyBorder="1"/>
    <xf numFmtId="171" fontId="43" fillId="0" borderId="19" xfId="4" applyNumberFormat="1" applyFont="1" applyBorder="1"/>
    <xf numFmtId="0" fontId="38" fillId="0" borderId="0" xfId="0" applyFont="1"/>
    <xf numFmtId="169" fontId="43" fillId="0" borderId="19" xfId="1" applyNumberFormat="1" applyFont="1" applyBorder="1"/>
    <xf numFmtId="17" fontId="0" fillId="0" borderId="16" xfId="0" applyNumberFormat="1" applyBorder="1"/>
    <xf numFmtId="0" fontId="6" fillId="9" borderId="7" xfId="0" applyFont="1" applyFill="1" applyBorder="1" applyAlignment="1">
      <alignment horizontal="center"/>
    </xf>
    <xf numFmtId="0" fontId="6" fillId="9" borderId="9" xfId="0" applyFont="1" applyFill="1" applyBorder="1" applyAlignment="1">
      <alignment horizontal="center"/>
    </xf>
    <xf numFmtId="0" fontId="38" fillId="9" borderId="35" xfId="0" applyFont="1" applyFill="1" applyBorder="1" applyAlignment="1">
      <alignment horizontal="center"/>
    </xf>
    <xf numFmtId="0" fontId="38" fillId="9" borderId="37"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1" fillId="9" borderId="15" xfId="0" applyFont="1" applyFill="1" applyBorder="1" applyAlignment="1">
      <alignment horizontal="center"/>
    </xf>
    <xf numFmtId="0" fontId="5" fillId="9" borderId="13" xfId="0" applyFont="1" applyFill="1" applyBorder="1" applyAlignment="1">
      <alignment horizontal="center"/>
    </xf>
    <xf numFmtId="0" fontId="5" fillId="9" borderId="14" xfId="0" applyFont="1" applyFill="1" applyBorder="1" applyAlignment="1">
      <alignment horizontal="center"/>
    </xf>
    <xf numFmtId="0" fontId="5" fillId="9" borderId="15" xfId="0" applyFont="1" applyFill="1" applyBorder="1" applyAlignment="1">
      <alignment horizontal="center"/>
    </xf>
    <xf numFmtId="0" fontId="25" fillId="9" borderId="20" xfId="0" applyFont="1" applyFill="1" applyBorder="1" applyAlignment="1">
      <alignment horizontal="center"/>
    </xf>
    <xf numFmtId="0" fontId="25" fillId="9" borderId="21" xfId="0" applyFont="1" applyFill="1" applyBorder="1" applyAlignment="1">
      <alignment horizontal="center"/>
    </xf>
    <xf numFmtId="0" fontId="25" fillId="9" borderId="22" xfId="0" applyFont="1" applyFill="1" applyBorder="1" applyAlignment="1">
      <alignment horizontal="center"/>
    </xf>
    <xf numFmtId="0" fontId="7" fillId="9" borderId="1"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6" fillId="9" borderId="20" xfId="0" applyFont="1" applyFill="1" applyBorder="1" applyAlignment="1">
      <alignment horizontal="center"/>
    </xf>
    <xf numFmtId="0" fontId="6" fillId="9" borderId="21" xfId="0" applyFont="1" applyFill="1" applyBorder="1" applyAlignment="1">
      <alignment horizontal="center"/>
    </xf>
    <xf numFmtId="0" fontId="6" fillId="9" borderId="22" xfId="0" applyFont="1" applyFill="1" applyBorder="1" applyAlignment="1">
      <alignment horizontal="center"/>
    </xf>
    <xf numFmtId="170" fontId="9" fillId="0" borderId="4" xfId="0" applyNumberFormat="1" applyFont="1" applyBorder="1" applyAlignment="1">
      <alignment horizontal="center"/>
    </xf>
    <xf numFmtId="170" fontId="9" fillId="0" borderId="5" xfId="0" applyNumberFormat="1" applyFont="1" applyBorder="1" applyAlignment="1">
      <alignment horizontal="center"/>
    </xf>
    <xf numFmtId="170" fontId="9" fillId="0" borderId="6" xfId="0" applyNumberFormat="1" applyFont="1" applyBorder="1" applyAlignment="1">
      <alignment horizontal="center"/>
    </xf>
    <xf numFmtId="0" fontId="6" fillId="9" borderId="33" xfId="0" applyFont="1" applyFill="1" applyBorder="1" applyAlignment="1">
      <alignment horizontal="center"/>
    </xf>
    <xf numFmtId="0" fontId="6" fillId="9" borderId="3" xfId="0" applyFont="1" applyFill="1" applyBorder="1" applyAlignment="1">
      <alignment horizontal="center"/>
    </xf>
    <xf numFmtId="0" fontId="6" fillId="9" borderId="34" xfId="0" applyFont="1" applyFill="1" applyBorder="1" applyAlignment="1">
      <alignment horizontal="center"/>
    </xf>
    <xf numFmtId="0" fontId="5" fillId="9" borderId="35" xfId="0" applyFont="1" applyFill="1" applyBorder="1" applyAlignment="1">
      <alignment horizontal="center"/>
    </xf>
    <xf numFmtId="0" fontId="5" fillId="9" borderId="36" xfId="0" applyFont="1" applyFill="1" applyBorder="1" applyAlignment="1">
      <alignment horizontal="center"/>
    </xf>
    <xf numFmtId="0" fontId="5" fillId="9" borderId="37" xfId="0" applyFont="1" applyFill="1" applyBorder="1" applyAlignment="1">
      <alignment horizontal="center"/>
    </xf>
    <xf numFmtId="0" fontId="8" fillId="3" borderId="18" xfId="0" applyFont="1" applyFill="1" applyBorder="1" applyAlignment="1">
      <alignment horizontal="center"/>
    </xf>
    <xf numFmtId="0" fontId="8" fillId="3" borderId="1" xfId="0" applyFont="1" applyFill="1" applyBorder="1" applyAlignment="1">
      <alignment horizontal="center"/>
    </xf>
    <xf numFmtId="0" fontId="8" fillId="3" borderId="19" xfId="0" applyFont="1" applyFill="1" applyBorder="1" applyAlignment="1">
      <alignment horizontal="center"/>
    </xf>
    <xf numFmtId="0" fontId="7" fillId="8" borderId="13"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7" fillId="8" borderId="16" xfId="0" applyFont="1" applyFill="1" applyBorder="1" applyAlignment="1">
      <alignment horizontal="center" vertical="center" wrapText="1"/>
    </xf>
    <xf numFmtId="0" fontId="7" fillId="8" borderId="0" xfId="0" applyFont="1" applyFill="1" applyBorder="1" applyAlignment="1">
      <alignment horizontal="center" vertical="center" wrapText="1"/>
    </xf>
    <xf numFmtId="0" fontId="7" fillId="8" borderId="17" xfId="0" applyFont="1" applyFill="1" applyBorder="1" applyAlignment="1">
      <alignment horizontal="center" vertical="center" wrapText="1"/>
    </xf>
    <xf numFmtId="0" fontId="7" fillId="8" borderId="20" xfId="0" applyFont="1" applyFill="1" applyBorder="1" applyAlignment="1">
      <alignment horizontal="center" vertical="center" wrapText="1"/>
    </xf>
    <xf numFmtId="0" fontId="7" fillId="8" borderId="21" xfId="0" applyFont="1" applyFill="1" applyBorder="1" applyAlignment="1">
      <alignment horizontal="center" vertical="center" wrapText="1"/>
    </xf>
    <xf numFmtId="0" fontId="7" fillId="8" borderId="22" xfId="0" applyFont="1" applyFill="1" applyBorder="1" applyAlignment="1">
      <alignment horizontal="center" vertical="center" wrapText="1"/>
    </xf>
    <xf numFmtId="9" fontId="13" fillId="9" borderId="7" xfId="4" applyFont="1" applyFill="1" applyBorder="1" applyAlignment="1">
      <alignment horizontal="center"/>
    </xf>
    <xf numFmtId="9" fontId="13" fillId="9" borderId="8" xfId="4" applyFont="1" applyFill="1" applyBorder="1" applyAlignment="1">
      <alignment horizontal="center"/>
    </xf>
    <xf numFmtId="9" fontId="13" fillId="9" borderId="9" xfId="4" applyFont="1" applyFill="1" applyBorder="1" applyAlignment="1">
      <alignment horizontal="center"/>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20"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22" xfId="0" applyFont="1" applyFill="1" applyBorder="1" applyAlignment="1">
      <alignment horizontal="center" vertical="center"/>
    </xf>
    <xf numFmtId="0" fontId="7" fillId="0" borderId="1" xfId="0" applyFont="1" applyBorder="1" applyAlignment="1">
      <alignment horizontal="right"/>
    </xf>
    <xf numFmtId="0" fontId="6" fillId="9" borderId="1" xfId="0" applyFont="1" applyFill="1" applyBorder="1" applyAlignment="1">
      <alignment horizontal="center"/>
    </xf>
    <xf numFmtId="0" fontId="6" fillId="8" borderId="1" xfId="0" applyFont="1" applyFill="1" applyBorder="1" applyAlignment="1">
      <alignment horizontal="center"/>
    </xf>
    <xf numFmtId="0" fontId="7" fillId="0" borderId="1" xfId="0" applyFont="1" applyBorder="1" applyAlignment="1">
      <alignment horizontal="center"/>
    </xf>
    <xf numFmtId="0" fontId="7" fillId="0" borderId="4" xfId="0" applyFont="1" applyBorder="1" applyAlignment="1">
      <alignment horizontal="right"/>
    </xf>
    <xf numFmtId="0" fontId="7" fillId="0" borderId="5" xfId="0" applyFont="1" applyBorder="1" applyAlignment="1">
      <alignment horizontal="right"/>
    </xf>
    <xf numFmtId="0" fontId="7" fillId="0" borderId="6" xfId="0" applyFont="1" applyBorder="1" applyAlignment="1">
      <alignment horizontal="right"/>
    </xf>
    <xf numFmtId="0" fontId="6" fillId="9" borderId="4" xfId="0" applyFont="1" applyFill="1" applyBorder="1" applyAlignment="1">
      <alignment horizontal="center"/>
    </xf>
    <xf numFmtId="0" fontId="6" fillId="9" borderId="5" xfId="0" applyFont="1" applyFill="1" applyBorder="1" applyAlignment="1">
      <alignment horizontal="center"/>
    </xf>
    <xf numFmtId="0" fontId="6" fillId="9" borderId="6" xfId="0" applyFont="1" applyFill="1" applyBorder="1" applyAlignment="1">
      <alignment horizontal="center"/>
    </xf>
    <xf numFmtId="43" fontId="15" fillId="7" borderId="4" xfId="0" applyNumberFormat="1" applyFont="1" applyFill="1" applyBorder="1" applyAlignment="1">
      <alignment horizontal="center"/>
    </xf>
    <xf numFmtId="0" fontId="15" fillId="7" borderId="5" xfId="0" applyFont="1" applyFill="1" applyBorder="1" applyAlignment="1">
      <alignment horizontal="center"/>
    </xf>
    <xf numFmtId="0" fontId="15" fillId="7" borderId="6" xfId="0" applyFont="1" applyFill="1" applyBorder="1" applyAlignment="1">
      <alignment horizontal="center"/>
    </xf>
    <xf numFmtId="0" fontId="6" fillId="8" borderId="4" xfId="0" applyFont="1" applyFill="1" applyBorder="1" applyAlignment="1">
      <alignment horizontal="center"/>
    </xf>
    <xf numFmtId="0" fontId="6" fillId="8" borderId="6" xfId="0" applyFont="1" applyFill="1" applyBorder="1" applyAlignment="1">
      <alignment horizontal="center"/>
    </xf>
    <xf numFmtId="0" fontId="15" fillId="7" borderId="1" xfId="0" applyFont="1" applyFill="1" applyBorder="1" applyAlignment="1">
      <alignment horizontal="center"/>
    </xf>
    <xf numFmtId="0" fontId="17" fillId="8" borderId="1" xfId="0" applyFont="1" applyFill="1" applyBorder="1" applyAlignment="1">
      <alignment horizontal="center"/>
    </xf>
    <xf numFmtId="0" fontId="5" fillId="6" borderId="0" xfId="0" applyFont="1" applyFill="1" applyBorder="1" applyAlignment="1">
      <alignment horizontal="center"/>
    </xf>
    <xf numFmtId="0" fontId="5" fillId="7" borderId="38" xfId="0" applyFont="1" applyFill="1" applyBorder="1" applyAlignment="1">
      <alignment horizontal="center"/>
    </xf>
    <xf numFmtId="0" fontId="5" fillId="7" borderId="0" xfId="0" applyFont="1" applyFill="1" applyBorder="1" applyAlignment="1">
      <alignment horizontal="center"/>
    </xf>
    <xf numFmtId="0" fontId="6" fillId="7" borderId="38" xfId="0" applyFont="1" applyFill="1" applyBorder="1" applyAlignment="1">
      <alignment horizontal="center"/>
    </xf>
    <xf numFmtId="0" fontId="6" fillId="7" borderId="0" xfId="0" applyFont="1" applyFill="1" applyBorder="1" applyAlignment="1">
      <alignment horizontal="center"/>
    </xf>
    <xf numFmtId="0" fontId="5" fillId="9" borderId="4" xfId="0" applyFont="1" applyFill="1" applyBorder="1" applyAlignment="1">
      <alignment horizontal="center"/>
    </xf>
    <xf numFmtId="0" fontId="5" fillId="9" borderId="5" xfId="0" applyFont="1" applyFill="1" applyBorder="1" applyAlignment="1">
      <alignment horizontal="center"/>
    </xf>
    <xf numFmtId="0" fontId="5" fillId="9" borderId="6" xfId="0" applyFont="1" applyFill="1" applyBorder="1" applyAlignment="1">
      <alignment horizontal="center"/>
    </xf>
    <xf numFmtId="0" fontId="23" fillId="9" borderId="4" xfId="0" applyFont="1" applyFill="1" applyBorder="1" applyAlignment="1">
      <alignment horizontal="center"/>
    </xf>
    <xf numFmtId="0" fontId="23" fillId="9" borderId="5" xfId="0" applyFont="1" applyFill="1" applyBorder="1" applyAlignment="1">
      <alignment horizontal="center"/>
    </xf>
    <xf numFmtId="0" fontId="23" fillId="9" borderId="6" xfId="0" applyFont="1" applyFill="1" applyBorder="1" applyAlignment="1">
      <alignment horizontal="center"/>
    </xf>
    <xf numFmtId="170" fontId="6" fillId="7" borderId="4" xfId="1" applyNumberFormat="1" applyFont="1" applyFill="1" applyBorder="1" applyAlignment="1">
      <alignment horizontal="center"/>
    </xf>
    <xf numFmtId="170" fontId="6" fillId="7" borderId="6" xfId="1" applyNumberFormat="1" applyFont="1" applyFill="1" applyBorder="1" applyAlignment="1">
      <alignment horizontal="center"/>
    </xf>
    <xf numFmtId="43" fontId="12" fillId="0" borderId="0" xfId="2" applyNumberFormat="1" applyFont="1" applyBorder="1" applyAlignment="1" applyProtection="1">
      <alignment horizontal="center"/>
    </xf>
    <xf numFmtId="43" fontId="8" fillId="2" borderId="0" xfId="3" applyNumberFormat="1" applyFont="1" applyBorder="1" applyAlignment="1">
      <alignment horizontal="center"/>
    </xf>
    <xf numFmtId="17" fontId="0" fillId="0" borderId="20" xfId="0" applyNumberFormat="1" applyBorder="1"/>
  </cellXfs>
  <cellStyles count="5">
    <cellStyle name="Accent6" xfId="3" builtinId="49"/>
    <cellStyle name="Comma" xfId="1" builtinId="3"/>
    <cellStyle name="Hyperlink" xfId="2" builtinId="8"/>
    <cellStyle name="Normal" xfId="0" builtinId="0"/>
    <cellStyle name="Percent" xfId="4" builtinId="5"/>
  </cellStyles>
  <dxfs count="75">
    <dxf>
      <font>
        <b/>
        <i val="0"/>
        <color theme="0"/>
      </font>
      <fill>
        <patternFill>
          <bgColor theme="5"/>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65" formatCode="[$-409]mmm\-yy;@"/>
    </dxf>
    <dxf>
      <font>
        <b/>
        <i val="0"/>
        <strike val="0"/>
        <condense val="0"/>
        <extend val="0"/>
        <outline val="0"/>
        <shadow val="0"/>
        <u val="none"/>
        <vertAlign val="baseline"/>
        <sz val="10"/>
        <color theme="0"/>
        <name val="Arial"/>
        <family val="2"/>
        <scheme val="none"/>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0"/>
        <name val="Arial"/>
        <family val="2"/>
        <scheme val="none"/>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0"/>
        <name val="Arial"/>
        <family val="2"/>
        <scheme val="none"/>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70" formatCode="_ * #,##0_ ;_ * \-#,##0_ ;_ * &quot;-&quot;??_ ;_ @_ "/>
      <border diagonalUp="0" diagonalDown="0" outline="0">
        <left style="thin">
          <color indexed="64"/>
        </left>
        <right style="thin">
          <color indexed="64"/>
        </right>
        <top style="thin">
          <color indexed="64"/>
        </top>
        <bottom style="thin">
          <color indexed="64"/>
        </bottom>
      </border>
    </dxf>
    <dxf>
      <font>
        <sz val="10"/>
        <name val="Arial"/>
        <family val="2"/>
        <scheme val="none"/>
      </font>
      <numFmt numFmtId="14" formatCode="0.0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70" formatCode="_ * #,##0_ ;_ * \-#,##0_ ;_ * &quot;-&quot;??_ ;_ @_ "/>
      <border diagonalUp="0" diagonalDown="0" outline="0">
        <left style="thin">
          <color indexed="64"/>
        </left>
        <right style="thin">
          <color indexed="64"/>
        </right>
        <top style="thin">
          <color indexed="64"/>
        </top>
        <bottom style="thin">
          <color indexed="64"/>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70" formatCode="_ * #,##0_ ;_ * \-#,##0_ ;_ * &quot;-&quot;??_ ;_ @_ "/>
      <border diagonalUp="0" diagonalDown="0" outline="0">
        <left style="thin">
          <color indexed="64"/>
        </left>
        <right style="thin">
          <color indexed="64"/>
        </right>
        <top style="thin">
          <color indexed="64"/>
        </top>
        <bottom style="thin">
          <color indexed="64"/>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70" formatCode="_ * #,##0_ ;_ * \-#,##0_ ;_ * &quot;-&quot;??_ ;_ @_ "/>
      <border diagonalUp="0" diagonalDown="0" outline="0">
        <left style="thin">
          <color indexed="64"/>
        </left>
        <right style="thin">
          <color indexed="64"/>
        </right>
        <top style="thin">
          <color indexed="64"/>
        </top>
        <bottom style="thin">
          <color indexed="64"/>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70" formatCode="_ * #,##0_ ;_ * \-#,##0_ ;_ * &quot;-&quot;??_ ;_ @_ "/>
      <border diagonalUp="0" diagonalDown="0" outline="0">
        <left style="thin">
          <color indexed="64"/>
        </left>
        <right style="thin">
          <color indexed="64"/>
        </right>
        <top style="thin">
          <color indexed="64"/>
        </top>
        <bottom style="thin">
          <color indexed="64"/>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70" formatCode="_ * #,##0_ ;_ * \-#,##0_ ;_ * &quot;-&quot;??_ ;_ @_ "/>
      <border diagonalUp="0" diagonalDown="0" outline="0">
        <left style="thin">
          <color indexed="64"/>
        </left>
        <right style="thin">
          <color indexed="64"/>
        </right>
        <top style="thin">
          <color indexed="64"/>
        </top>
        <bottom style="thin">
          <color indexed="64"/>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70" formatCode="_ * #,##0_ ;_ * \-#,##0_ ;_ * &quot;-&quot;??_ ;_ @_ "/>
      <border diagonalUp="0" diagonalDown="0" outline="0">
        <left style="thin">
          <color indexed="64"/>
        </left>
        <right style="thin">
          <color indexed="64"/>
        </right>
        <top style="thin">
          <color indexed="64"/>
        </top>
        <bottom style="thin">
          <color indexed="64"/>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70" formatCode="_ * #,##0_ ;_ * \-#,##0_ ;_ * &quot;-&quot;??_ ;_ @_ "/>
      <border diagonalUp="0" diagonalDown="0" outline="0">
        <left style="thin">
          <color indexed="64"/>
        </left>
        <right style="thin">
          <color indexed="64"/>
        </right>
        <top style="thin">
          <color indexed="64"/>
        </top>
        <bottom style="thin">
          <color indexed="64"/>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70" formatCode="_ * #,##0_ ;_ * \-#,##0_ ;_ * &quot;-&quot;??_ ;_ @_ "/>
      <border diagonalUp="0" diagonalDown="0" outline="0">
        <left style="thin">
          <color indexed="64"/>
        </left>
        <right style="thin">
          <color indexed="64"/>
        </right>
        <top style="thin">
          <color indexed="64"/>
        </top>
        <bottom style="thin">
          <color indexed="64"/>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70" formatCode="_ * #,##0_ ;_ * \-#,##0_ ;_ * &quot;-&quot;??_ ;_ @_ "/>
      <border diagonalUp="0" diagonalDown="0" outline="0">
        <left style="thin">
          <color indexed="64"/>
        </left>
        <right style="thin">
          <color indexed="64"/>
        </right>
        <top style="thin">
          <color indexed="64"/>
        </top>
        <bottom style="thin">
          <color indexed="64"/>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70" formatCode="_ * #,##0_ ;_ * \-#,##0_ ;_ * &quot;-&quot;??_ ;_ @_ "/>
      <border diagonalUp="0" diagonalDown="0" outline="0">
        <left style="thin">
          <color indexed="64"/>
        </left>
        <right style="thin">
          <color indexed="64"/>
        </right>
        <top style="thin">
          <color indexed="64"/>
        </top>
        <bottom style="thin">
          <color indexed="64"/>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style="thin">
          <color indexed="64"/>
        </bottom>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0"/>
        <name val="Arial"/>
        <family val="2"/>
        <scheme val="none"/>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Margin</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0642162893700788"/>
          <c:y val="0.12063354983852827"/>
          <c:w val="0.86493253772965883"/>
          <c:h val="0.52987481403534231"/>
        </c:manualLayout>
      </c:layout>
      <c:lineChart>
        <c:grouping val="standard"/>
        <c:varyColors val="0"/>
        <c:ser>
          <c:idx val="0"/>
          <c:order val="0"/>
          <c:tx>
            <c:strRef>
              <c:f>Charts!$A$51</c:f>
              <c:strCache>
                <c:ptCount val="1"/>
                <c:pt idx="0">
                  <c:v>Operating Margin</c:v>
                </c:pt>
              </c:strCache>
            </c:strRef>
          </c:tx>
          <c:spPr>
            <a:ln w="28575" cap="rnd">
              <a:solidFill>
                <a:schemeClr val="accent1"/>
              </a:solidFill>
              <a:round/>
            </a:ln>
            <a:effectLst/>
          </c:spPr>
          <c:marker>
            <c:symbol val="none"/>
          </c:marker>
          <c:cat>
            <c:numRef>
              <c:f>Charts!$B$50:$K$50</c:f>
              <c:numCache>
                <c:formatCode>[$-409]mmm/yy;@</c:formatCode>
                <c:ptCount val="10"/>
                <c:pt idx="0">
                  <c:v>40268</c:v>
                </c:pt>
                <c:pt idx="1">
                  <c:v>40633</c:v>
                </c:pt>
                <c:pt idx="2">
                  <c:v>40999</c:v>
                </c:pt>
                <c:pt idx="3">
                  <c:v>41364</c:v>
                </c:pt>
                <c:pt idx="4">
                  <c:v>41729</c:v>
                </c:pt>
                <c:pt idx="5">
                  <c:v>42094</c:v>
                </c:pt>
                <c:pt idx="6">
                  <c:v>42460</c:v>
                </c:pt>
                <c:pt idx="7">
                  <c:v>42825</c:v>
                </c:pt>
                <c:pt idx="8">
                  <c:v>43190</c:v>
                </c:pt>
                <c:pt idx="9">
                  <c:v>43555</c:v>
                </c:pt>
              </c:numCache>
            </c:numRef>
          </c:cat>
          <c:val>
            <c:numRef>
              <c:f>Charts!$B$51:$K$51</c:f>
              <c:numCache>
                <c:formatCode>0%</c:formatCode>
                <c:ptCount val="10"/>
                <c:pt idx="0">
                  <c:v>0.15594400042343723</c:v>
                </c:pt>
                <c:pt idx="1">
                  <c:v>0.18274752286188437</c:v>
                </c:pt>
                <c:pt idx="2">
                  <c:v>0.1760505362831952</c:v>
                </c:pt>
                <c:pt idx="3">
                  <c:v>0.17627290244619367</c:v>
                </c:pt>
                <c:pt idx="4">
                  <c:v>0.18342326717965471</c:v>
                </c:pt>
                <c:pt idx="5">
                  <c:v>0.19006213132272246</c:v>
                </c:pt>
                <c:pt idx="6">
                  <c:v>0.16714123006833714</c:v>
                </c:pt>
                <c:pt idx="7">
                  <c:v>0.17864149092692497</c:v>
                </c:pt>
                <c:pt idx="8">
                  <c:v>0.1966279203590747</c:v>
                </c:pt>
                <c:pt idx="9">
                  <c:v>0.17406237120483584</c:v>
                </c:pt>
              </c:numCache>
            </c:numRef>
          </c:val>
          <c:smooth val="0"/>
          <c:extLst>
            <c:ext xmlns:c16="http://schemas.microsoft.com/office/drawing/2014/chart" uri="{C3380CC4-5D6E-409C-BE32-E72D297353CC}">
              <c16:uniqueId val="{00000000-26E1-4347-B20E-A510AB943424}"/>
            </c:ext>
          </c:extLst>
        </c:ser>
        <c:ser>
          <c:idx val="1"/>
          <c:order val="1"/>
          <c:tx>
            <c:strRef>
              <c:f>Charts!$A$52</c:f>
              <c:strCache>
                <c:ptCount val="1"/>
                <c:pt idx="0">
                  <c:v>PBT Margin</c:v>
                </c:pt>
              </c:strCache>
            </c:strRef>
          </c:tx>
          <c:spPr>
            <a:ln w="28575" cap="rnd">
              <a:solidFill>
                <a:schemeClr val="accent2"/>
              </a:solidFill>
              <a:round/>
            </a:ln>
            <a:effectLst/>
          </c:spPr>
          <c:marker>
            <c:symbol val="none"/>
          </c:marker>
          <c:cat>
            <c:numRef>
              <c:f>Charts!$B$50:$K$50</c:f>
              <c:numCache>
                <c:formatCode>[$-409]mmm/yy;@</c:formatCode>
                <c:ptCount val="10"/>
                <c:pt idx="0">
                  <c:v>40268</c:v>
                </c:pt>
                <c:pt idx="1">
                  <c:v>40633</c:v>
                </c:pt>
                <c:pt idx="2">
                  <c:v>40999</c:v>
                </c:pt>
                <c:pt idx="3">
                  <c:v>41364</c:v>
                </c:pt>
                <c:pt idx="4">
                  <c:v>41729</c:v>
                </c:pt>
                <c:pt idx="5">
                  <c:v>42094</c:v>
                </c:pt>
                <c:pt idx="6">
                  <c:v>42460</c:v>
                </c:pt>
                <c:pt idx="7">
                  <c:v>42825</c:v>
                </c:pt>
                <c:pt idx="8">
                  <c:v>43190</c:v>
                </c:pt>
                <c:pt idx="9">
                  <c:v>43555</c:v>
                </c:pt>
              </c:numCache>
            </c:numRef>
          </c:cat>
          <c:val>
            <c:numRef>
              <c:f>Charts!$B$52:$K$52</c:f>
              <c:numCache>
                <c:formatCode>0%</c:formatCode>
                <c:ptCount val="10"/>
                <c:pt idx="0">
                  <c:v>0.11317494763744694</c:v>
                </c:pt>
                <c:pt idx="1">
                  <c:v>0.11534055007394961</c:v>
                </c:pt>
                <c:pt idx="2">
                  <c:v>9.4990171183055999E-2</c:v>
                </c:pt>
                <c:pt idx="3">
                  <c:v>0.10275536975951764</c:v>
                </c:pt>
                <c:pt idx="4">
                  <c:v>0.10737655604741665</c:v>
                </c:pt>
                <c:pt idx="5">
                  <c:v>0.11665089673562448</c:v>
                </c:pt>
                <c:pt idx="6">
                  <c:v>7.9513097949886105E-2</c:v>
                </c:pt>
                <c:pt idx="7">
                  <c:v>0.1178273663560569</c:v>
                </c:pt>
                <c:pt idx="8">
                  <c:v>0.13263896881114051</c:v>
                </c:pt>
                <c:pt idx="9">
                  <c:v>7.7116820076017764E-2</c:v>
                </c:pt>
              </c:numCache>
            </c:numRef>
          </c:val>
          <c:smooth val="0"/>
          <c:extLst>
            <c:ext xmlns:c16="http://schemas.microsoft.com/office/drawing/2014/chart" uri="{C3380CC4-5D6E-409C-BE32-E72D297353CC}">
              <c16:uniqueId val="{00000001-26E1-4347-B20E-A510AB943424}"/>
            </c:ext>
          </c:extLst>
        </c:ser>
        <c:ser>
          <c:idx val="2"/>
          <c:order val="2"/>
          <c:tx>
            <c:strRef>
              <c:f>Charts!$A$53</c:f>
              <c:strCache>
                <c:ptCount val="1"/>
                <c:pt idx="0">
                  <c:v>Net Margin</c:v>
                </c:pt>
              </c:strCache>
            </c:strRef>
          </c:tx>
          <c:spPr>
            <a:ln w="28575" cap="rnd">
              <a:solidFill>
                <a:schemeClr val="accent3"/>
              </a:solidFill>
              <a:round/>
            </a:ln>
            <a:effectLst/>
          </c:spPr>
          <c:marker>
            <c:symbol val="none"/>
          </c:marker>
          <c:cat>
            <c:numRef>
              <c:f>Charts!$B$50:$K$50</c:f>
              <c:numCache>
                <c:formatCode>[$-409]mmm/yy;@</c:formatCode>
                <c:ptCount val="10"/>
                <c:pt idx="0">
                  <c:v>40268</c:v>
                </c:pt>
                <c:pt idx="1">
                  <c:v>40633</c:v>
                </c:pt>
                <c:pt idx="2">
                  <c:v>40999</c:v>
                </c:pt>
                <c:pt idx="3">
                  <c:v>41364</c:v>
                </c:pt>
                <c:pt idx="4">
                  <c:v>41729</c:v>
                </c:pt>
                <c:pt idx="5">
                  <c:v>42094</c:v>
                </c:pt>
                <c:pt idx="6">
                  <c:v>42460</c:v>
                </c:pt>
                <c:pt idx="7">
                  <c:v>42825</c:v>
                </c:pt>
                <c:pt idx="8">
                  <c:v>43190</c:v>
                </c:pt>
                <c:pt idx="9">
                  <c:v>43555</c:v>
                </c:pt>
              </c:numCache>
            </c:numRef>
          </c:cat>
          <c:val>
            <c:numRef>
              <c:f>Charts!$B$53:$K$53</c:f>
              <c:numCache>
                <c:formatCode>0%</c:formatCode>
                <c:ptCount val="10"/>
                <c:pt idx="0">
                  <c:v>9.7038963788553548E-2</c:v>
                </c:pt>
                <c:pt idx="1">
                  <c:v>0.10265454772700444</c:v>
                </c:pt>
                <c:pt idx="2">
                  <c:v>7.8303342840606457E-2</c:v>
                </c:pt>
                <c:pt idx="3">
                  <c:v>8.0637294925808733E-2</c:v>
                </c:pt>
                <c:pt idx="4">
                  <c:v>8.6794208086990024E-2</c:v>
                </c:pt>
                <c:pt idx="5">
                  <c:v>9.6468969076599076E-2</c:v>
                </c:pt>
                <c:pt idx="6">
                  <c:v>6.7767653758542143E-2</c:v>
                </c:pt>
                <c:pt idx="7">
                  <c:v>0.1062408043158411</c:v>
                </c:pt>
                <c:pt idx="8">
                  <c:v>0.11681436298768558</c:v>
                </c:pt>
                <c:pt idx="9">
                  <c:v>6.9560837111324811E-2</c:v>
                </c:pt>
              </c:numCache>
            </c:numRef>
          </c:val>
          <c:smooth val="0"/>
          <c:extLst>
            <c:ext xmlns:c16="http://schemas.microsoft.com/office/drawing/2014/chart" uri="{C3380CC4-5D6E-409C-BE32-E72D297353CC}">
              <c16:uniqueId val="{00000002-26E1-4347-B20E-A510AB943424}"/>
            </c:ext>
          </c:extLst>
        </c:ser>
        <c:dLbls>
          <c:showLegendKey val="0"/>
          <c:showVal val="0"/>
          <c:showCatName val="0"/>
          <c:showSerName val="0"/>
          <c:showPercent val="0"/>
          <c:showBubbleSize val="0"/>
        </c:dLbls>
        <c:smooth val="0"/>
        <c:axId val="744897600"/>
        <c:axId val="744897272"/>
      </c:lineChart>
      <c:dateAx>
        <c:axId val="744897600"/>
        <c:scaling>
          <c:orientation val="minMax"/>
          <c:max val="43555"/>
          <c:min val="40268"/>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272"/>
        <c:crosses val="autoZero"/>
        <c:auto val="1"/>
        <c:lblOffset val="100"/>
        <c:baseTimeUnit val="years"/>
      </c:dateAx>
      <c:valAx>
        <c:axId val="74489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Capital Allocation Quality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415144915396213"/>
          <c:y val="0.12524184476940384"/>
          <c:w val="0.84659323169710166"/>
          <c:h val="0.52526651910446676"/>
        </c:manualLayout>
      </c:layout>
      <c:barChart>
        <c:barDir val="col"/>
        <c:grouping val="clustered"/>
        <c:varyColors val="0"/>
        <c:ser>
          <c:idx val="0"/>
          <c:order val="0"/>
          <c:tx>
            <c:strRef>
              <c:f>Charts!$A$57</c:f>
              <c:strCache>
                <c:ptCount val="1"/>
                <c:pt idx="0">
                  <c:v>ROE</c:v>
                </c:pt>
              </c:strCache>
            </c:strRef>
          </c:tx>
          <c:spPr>
            <a:solidFill>
              <a:schemeClr val="accent1"/>
            </a:solidFill>
            <a:ln>
              <a:noFill/>
            </a:ln>
            <a:effectLst/>
          </c:spPr>
          <c:invertIfNegative val="0"/>
          <c:cat>
            <c:numRef>
              <c:f>Charts!$B$56:$K$56</c:f>
              <c:numCache>
                <c:formatCode>[$-409]mmm/yy;@</c:formatCode>
                <c:ptCount val="10"/>
                <c:pt idx="0">
                  <c:v>40268</c:v>
                </c:pt>
                <c:pt idx="1">
                  <c:v>40633</c:v>
                </c:pt>
                <c:pt idx="2">
                  <c:v>40999</c:v>
                </c:pt>
                <c:pt idx="3">
                  <c:v>41364</c:v>
                </c:pt>
                <c:pt idx="4">
                  <c:v>41729</c:v>
                </c:pt>
                <c:pt idx="5">
                  <c:v>42094</c:v>
                </c:pt>
                <c:pt idx="6">
                  <c:v>42460</c:v>
                </c:pt>
                <c:pt idx="7">
                  <c:v>42825</c:v>
                </c:pt>
                <c:pt idx="8">
                  <c:v>43190</c:v>
                </c:pt>
                <c:pt idx="9">
                  <c:v>43555</c:v>
                </c:pt>
              </c:numCache>
            </c:numRef>
          </c:cat>
          <c:val>
            <c:numRef>
              <c:f>Charts!$B$57:$K$57</c:f>
              <c:numCache>
                <c:formatCode>0%</c:formatCode>
                <c:ptCount val="10"/>
                <c:pt idx="0">
                  <c:v>0.17158175151496913</c:v>
                </c:pt>
                <c:pt idx="1">
                  <c:v>0.15870962547469841</c:v>
                </c:pt>
                <c:pt idx="2">
                  <c:v>0.14394300653469502</c:v>
                </c:pt>
                <c:pt idx="3">
                  <c:v>0.15945638742621474</c:v>
                </c:pt>
                <c:pt idx="4">
                  <c:v>0.17815421673889245</c:v>
                </c:pt>
                <c:pt idx="5">
                  <c:v>0.19902633469446304</c:v>
                </c:pt>
                <c:pt idx="6">
                  <c:v>0.45506692160611856</c:v>
                </c:pt>
                <c:pt idx="7">
                  <c:v>0.23691045796308954</c:v>
                </c:pt>
                <c:pt idx="8">
                  <c:v>0.22139818955175047</c:v>
                </c:pt>
                <c:pt idx="9">
                  <c:v>0.10372140662342097</c:v>
                </c:pt>
              </c:numCache>
            </c:numRef>
          </c:val>
          <c:extLst>
            <c:ext xmlns:c16="http://schemas.microsoft.com/office/drawing/2014/chart" uri="{C3380CC4-5D6E-409C-BE32-E72D297353CC}">
              <c16:uniqueId val="{00000000-6118-4ABA-9339-77EEC81DC73E}"/>
            </c:ext>
          </c:extLst>
        </c:ser>
        <c:ser>
          <c:idx val="1"/>
          <c:order val="1"/>
          <c:tx>
            <c:strRef>
              <c:f>Charts!$A$58</c:f>
              <c:strCache>
                <c:ptCount val="1"/>
                <c:pt idx="0">
                  <c:v>ROCE</c:v>
                </c:pt>
              </c:strCache>
            </c:strRef>
          </c:tx>
          <c:spPr>
            <a:solidFill>
              <a:schemeClr val="accent2"/>
            </a:solidFill>
            <a:ln>
              <a:noFill/>
            </a:ln>
            <a:effectLst/>
          </c:spPr>
          <c:invertIfNegative val="0"/>
          <c:cat>
            <c:numRef>
              <c:f>Charts!$B$56:$K$56</c:f>
              <c:numCache>
                <c:formatCode>[$-409]mmm/yy;@</c:formatCode>
                <c:ptCount val="10"/>
                <c:pt idx="0">
                  <c:v>40268</c:v>
                </c:pt>
                <c:pt idx="1">
                  <c:v>40633</c:v>
                </c:pt>
                <c:pt idx="2">
                  <c:v>40999</c:v>
                </c:pt>
                <c:pt idx="3">
                  <c:v>41364</c:v>
                </c:pt>
                <c:pt idx="4">
                  <c:v>41729</c:v>
                </c:pt>
                <c:pt idx="5">
                  <c:v>42094</c:v>
                </c:pt>
                <c:pt idx="6">
                  <c:v>42460</c:v>
                </c:pt>
                <c:pt idx="7">
                  <c:v>42825</c:v>
                </c:pt>
                <c:pt idx="8">
                  <c:v>43190</c:v>
                </c:pt>
                <c:pt idx="9">
                  <c:v>43555</c:v>
                </c:pt>
              </c:numCache>
            </c:numRef>
          </c:cat>
          <c:val>
            <c:numRef>
              <c:f>Charts!$B$58:$K$58</c:f>
              <c:numCache>
                <c:formatCode>0%</c:formatCode>
                <c:ptCount val="10"/>
                <c:pt idx="0">
                  <c:v>0.14645608756798506</c:v>
                </c:pt>
                <c:pt idx="1">
                  <c:v>0.15245631346881675</c:v>
                </c:pt>
                <c:pt idx="2">
                  <c:v>0.15119105236293062</c:v>
                </c:pt>
                <c:pt idx="3">
                  <c:v>0.15514875900431044</c:v>
                </c:pt>
                <c:pt idx="4">
                  <c:v>0.19097908434542168</c:v>
                </c:pt>
                <c:pt idx="5">
                  <c:v>0.21085514368356822</c:v>
                </c:pt>
                <c:pt idx="6">
                  <c:v>0.24775510204081633</c:v>
                </c:pt>
                <c:pt idx="7">
                  <c:v>0.1942819537876572</c:v>
                </c:pt>
                <c:pt idx="8">
                  <c:v>0.19535648763206173</c:v>
                </c:pt>
                <c:pt idx="9">
                  <c:v>6.0454493548018726E-2</c:v>
                </c:pt>
              </c:numCache>
            </c:numRef>
          </c:val>
          <c:extLst>
            <c:ext xmlns:c16="http://schemas.microsoft.com/office/drawing/2014/chart" uri="{C3380CC4-5D6E-409C-BE32-E72D297353CC}">
              <c16:uniqueId val="{00000001-6118-4ABA-9339-77EEC81DC73E}"/>
            </c:ext>
          </c:extLst>
        </c:ser>
        <c:dLbls>
          <c:showLegendKey val="0"/>
          <c:showVal val="0"/>
          <c:showCatName val="0"/>
          <c:showSerName val="0"/>
          <c:showPercent val="0"/>
          <c:showBubbleSize val="0"/>
        </c:dLbls>
        <c:gapWidth val="219"/>
        <c:overlap val="-27"/>
        <c:axId val="683252768"/>
        <c:axId val="683254736"/>
      </c:barChart>
      <c:dateAx>
        <c:axId val="683252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4736"/>
        <c:crosses val="autoZero"/>
        <c:auto val="1"/>
        <c:lblOffset val="100"/>
        <c:baseTimeUnit val="years"/>
      </c:dateAx>
      <c:valAx>
        <c:axId val="68325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 and Profit Growth (YoY)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062740827609315"/>
          <c:y val="0.11656240886555849"/>
          <c:w val="0.85011727257497072"/>
          <c:h val="0.66610199766695832"/>
        </c:manualLayout>
      </c:layout>
      <c:lineChart>
        <c:grouping val="standard"/>
        <c:varyColors val="0"/>
        <c:ser>
          <c:idx val="0"/>
          <c:order val="0"/>
          <c:tx>
            <c:strRef>
              <c:f>Charts!$A$62</c:f>
              <c:strCache>
                <c:ptCount val="1"/>
                <c:pt idx="0">
                  <c:v>Revenue Growth</c:v>
                </c:pt>
              </c:strCache>
            </c:strRef>
          </c:tx>
          <c:spPr>
            <a:ln w="28575" cap="rnd">
              <a:solidFill>
                <a:schemeClr val="accent1"/>
              </a:solidFill>
              <a:round/>
            </a:ln>
            <a:effectLst/>
          </c:spPr>
          <c:marker>
            <c:symbol val="none"/>
          </c:marker>
          <c:cat>
            <c:numRef>
              <c:f>Charts!$B$61:$J$61</c:f>
              <c:numCache>
                <c:formatCode>[$-409]mmm/yy;@</c:formatCode>
                <c:ptCount val="9"/>
                <c:pt idx="0">
                  <c:v>40633</c:v>
                </c:pt>
                <c:pt idx="1">
                  <c:v>40999</c:v>
                </c:pt>
                <c:pt idx="2">
                  <c:v>41364</c:v>
                </c:pt>
                <c:pt idx="3">
                  <c:v>41729</c:v>
                </c:pt>
                <c:pt idx="4">
                  <c:v>42094</c:v>
                </c:pt>
                <c:pt idx="5">
                  <c:v>42460</c:v>
                </c:pt>
                <c:pt idx="6">
                  <c:v>42825</c:v>
                </c:pt>
                <c:pt idx="7">
                  <c:v>43190</c:v>
                </c:pt>
                <c:pt idx="8">
                  <c:v>43555</c:v>
                </c:pt>
              </c:numCache>
            </c:numRef>
          </c:cat>
          <c:val>
            <c:numRef>
              <c:f>Charts!$B$62:$J$62</c:f>
              <c:numCache>
                <c:formatCode>0%</c:formatCode>
                <c:ptCount val="9"/>
                <c:pt idx="0">
                  <c:v>8.8967191174357918E-2</c:v>
                </c:pt>
                <c:pt idx="1">
                  <c:v>0.33166917794427042</c:v>
                </c:pt>
                <c:pt idx="2">
                  <c:v>0.19740800800905212</c:v>
                </c:pt>
                <c:pt idx="3">
                  <c:v>0.17257040835211224</c:v>
                </c:pt>
                <c:pt idx="4">
                  <c:v>0.12251923705398271</c:v>
                </c:pt>
                <c:pt idx="5">
                  <c:v>0.16190205218634102</c:v>
                </c:pt>
                <c:pt idx="6">
                  <c:v>0.16116173120728927</c:v>
                </c:pt>
                <c:pt idx="7">
                  <c:v>6.5350662089259437E-2</c:v>
                </c:pt>
                <c:pt idx="8">
                  <c:v>0.25658879042467486</c:v>
                </c:pt>
              </c:numCache>
            </c:numRef>
          </c:val>
          <c:smooth val="0"/>
          <c:extLst>
            <c:ext xmlns:c16="http://schemas.microsoft.com/office/drawing/2014/chart" uri="{C3380CC4-5D6E-409C-BE32-E72D297353CC}">
              <c16:uniqueId val="{00000000-BED8-4D86-91BD-1B6873BA3D65}"/>
            </c:ext>
          </c:extLst>
        </c:ser>
        <c:ser>
          <c:idx val="1"/>
          <c:order val="1"/>
          <c:tx>
            <c:strRef>
              <c:f>Charts!$A$63</c:f>
              <c:strCache>
                <c:ptCount val="1"/>
                <c:pt idx="0">
                  <c:v>PBT Growth</c:v>
                </c:pt>
              </c:strCache>
            </c:strRef>
          </c:tx>
          <c:spPr>
            <a:ln w="28575" cap="rnd">
              <a:solidFill>
                <a:schemeClr val="accent2"/>
              </a:solidFill>
              <a:round/>
            </a:ln>
            <a:effectLst/>
          </c:spPr>
          <c:marker>
            <c:symbol val="none"/>
          </c:marker>
          <c:cat>
            <c:numRef>
              <c:f>Charts!$B$61:$J$61</c:f>
              <c:numCache>
                <c:formatCode>[$-409]mmm/yy;@</c:formatCode>
                <c:ptCount val="9"/>
                <c:pt idx="0">
                  <c:v>40633</c:v>
                </c:pt>
                <c:pt idx="1">
                  <c:v>40999</c:v>
                </c:pt>
                <c:pt idx="2">
                  <c:v>41364</c:v>
                </c:pt>
                <c:pt idx="3">
                  <c:v>41729</c:v>
                </c:pt>
                <c:pt idx="4">
                  <c:v>42094</c:v>
                </c:pt>
                <c:pt idx="5">
                  <c:v>42460</c:v>
                </c:pt>
                <c:pt idx="6">
                  <c:v>42825</c:v>
                </c:pt>
                <c:pt idx="7">
                  <c:v>43190</c:v>
                </c:pt>
                <c:pt idx="8">
                  <c:v>43555</c:v>
                </c:pt>
              </c:numCache>
            </c:numRef>
          </c:cat>
          <c:val>
            <c:numRef>
              <c:f>Charts!$B$63:$J$63</c:f>
              <c:numCache>
                <c:formatCode>0%</c:formatCode>
                <c:ptCount val="9"/>
                <c:pt idx="0">
                  <c:v>0.10980457658259613</c:v>
                </c:pt>
                <c:pt idx="1">
                  <c:v>9.6713021491784179E-2</c:v>
                </c:pt>
                <c:pt idx="2">
                  <c:v>0.29529298751200739</c:v>
                </c:pt>
                <c:pt idx="3">
                  <c:v>0.22530406407593917</c:v>
                </c:pt>
                <c:pt idx="4">
                  <c:v>0.21947360229650825</c:v>
                </c:pt>
                <c:pt idx="5">
                  <c:v>-0.20800924580074875</c:v>
                </c:pt>
                <c:pt idx="6">
                  <c:v>0.72068039391226502</c:v>
                </c:pt>
                <c:pt idx="7">
                  <c:v>0.1992715920915713</c:v>
                </c:pt>
                <c:pt idx="8">
                  <c:v>-0.26941431670282001</c:v>
                </c:pt>
              </c:numCache>
            </c:numRef>
          </c:val>
          <c:smooth val="0"/>
          <c:extLst>
            <c:ext xmlns:c16="http://schemas.microsoft.com/office/drawing/2014/chart" uri="{C3380CC4-5D6E-409C-BE32-E72D297353CC}">
              <c16:uniqueId val="{00000001-BED8-4D86-91BD-1B6873BA3D65}"/>
            </c:ext>
          </c:extLst>
        </c:ser>
        <c:ser>
          <c:idx val="2"/>
          <c:order val="2"/>
          <c:tx>
            <c:strRef>
              <c:f>Charts!$A$64</c:f>
              <c:strCache>
                <c:ptCount val="1"/>
                <c:pt idx="0">
                  <c:v>Net Profit Growth</c:v>
                </c:pt>
              </c:strCache>
            </c:strRef>
          </c:tx>
          <c:spPr>
            <a:ln w="28575" cap="rnd">
              <a:solidFill>
                <a:schemeClr val="accent3"/>
              </a:solidFill>
              <a:round/>
            </a:ln>
            <a:effectLst/>
          </c:spPr>
          <c:marker>
            <c:symbol val="none"/>
          </c:marker>
          <c:cat>
            <c:numRef>
              <c:f>Charts!$B$61:$J$61</c:f>
              <c:numCache>
                <c:formatCode>[$-409]mmm/yy;@</c:formatCode>
                <c:ptCount val="9"/>
                <c:pt idx="0">
                  <c:v>40633</c:v>
                </c:pt>
                <c:pt idx="1">
                  <c:v>40999</c:v>
                </c:pt>
                <c:pt idx="2">
                  <c:v>41364</c:v>
                </c:pt>
                <c:pt idx="3">
                  <c:v>41729</c:v>
                </c:pt>
                <c:pt idx="4">
                  <c:v>42094</c:v>
                </c:pt>
                <c:pt idx="5">
                  <c:v>42460</c:v>
                </c:pt>
                <c:pt idx="6">
                  <c:v>42825</c:v>
                </c:pt>
                <c:pt idx="7">
                  <c:v>43190</c:v>
                </c:pt>
                <c:pt idx="8">
                  <c:v>43555</c:v>
                </c:pt>
              </c:numCache>
            </c:numRef>
          </c:cat>
          <c:val>
            <c:numRef>
              <c:f>Charts!$B$64:$J$64</c:f>
              <c:numCache>
                <c:formatCode>0%</c:formatCode>
                <c:ptCount val="9"/>
                <c:pt idx="0">
                  <c:v>0.15198503915533612</c:v>
                </c:pt>
                <c:pt idx="1">
                  <c:v>1.577719155844326E-2</c:v>
                </c:pt>
                <c:pt idx="2">
                  <c:v>0.23309860327290277</c:v>
                </c:pt>
                <c:pt idx="3">
                  <c:v>0.26209987714489791</c:v>
                </c:pt>
                <c:pt idx="4">
                  <c:v>0.24764400705996037</c:v>
                </c:pt>
                <c:pt idx="5">
                  <c:v>-0.1837854521760024</c:v>
                </c:pt>
                <c:pt idx="6">
                  <c:v>0.82037815126050417</c:v>
                </c:pt>
                <c:pt idx="7">
                  <c:v>0.17137911136757067</c:v>
                </c:pt>
                <c:pt idx="8">
                  <c:v>-0.25172413793103443</c:v>
                </c:pt>
              </c:numCache>
            </c:numRef>
          </c:val>
          <c:smooth val="0"/>
          <c:extLst>
            <c:ext xmlns:c16="http://schemas.microsoft.com/office/drawing/2014/chart" uri="{C3380CC4-5D6E-409C-BE32-E72D297353CC}">
              <c16:uniqueId val="{00000002-BED8-4D86-91BD-1B6873BA3D65}"/>
            </c:ext>
          </c:extLst>
        </c:ser>
        <c:dLbls>
          <c:showLegendKey val="0"/>
          <c:showVal val="0"/>
          <c:showCatName val="0"/>
          <c:showSerName val="0"/>
          <c:showPercent val="0"/>
          <c:showBubbleSize val="0"/>
        </c:dLbls>
        <c:smooth val="0"/>
        <c:axId val="683222432"/>
        <c:axId val="744898256"/>
      </c:lineChart>
      <c:dateAx>
        <c:axId val="6832224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8256"/>
        <c:crosses val="autoZero"/>
        <c:auto val="1"/>
        <c:lblOffset val="100"/>
        <c:baseTimeUnit val="years"/>
      </c:dateAx>
      <c:valAx>
        <c:axId val="74489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a:t>
            </a:r>
          </a:p>
        </c:rich>
      </c:tx>
      <c:layout>
        <c:manualLayout>
          <c:xMode val="edge"/>
          <c:yMode val="edge"/>
          <c:x val="0.42964833497375327"/>
          <c:y val="2.7777777777777776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6169557906824147"/>
          <c:y val="0.11656240886555849"/>
          <c:w val="0.80965858759842524"/>
          <c:h val="0.65037693205016045"/>
        </c:manualLayout>
      </c:layout>
      <c:barChart>
        <c:barDir val="col"/>
        <c:grouping val="clustered"/>
        <c:varyColors val="0"/>
        <c:ser>
          <c:idx val="0"/>
          <c:order val="0"/>
          <c:tx>
            <c:strRef>
              <c:f>Charts!$A$68</c:f>
              <c:strCache>
                <c:ptCount val="1"/>
                <c:pt idx="0">
                  <c:v>Revenue</c:v>
                </c:pt>
              </c:strCache>
            </c:strRef>
          </c:tx>
          <c:spPr>
            <a:solidFill>
              <a:schemeClr val="accent1"/>
            </a:solidFill>
            <a:ln>
              <a:noFill/>
            </a:ln>
            <a:effectLst/>
          </c:spPr>
          <c:invertIfNegative val="0"/>
          <c:cat>
            <c:numRef>
              <c:f>Charts!$B$67:$K$67</c:f>
              <c:numCache>
                <c:formatCode>[$-409]mmm/yy;@</c:formatCode>
                <c:ptCount val="10"/>
                <c:pt idx="0">
                  <c:v>40268</c:v>
                </c:pt>
                <c:pt idx="1">
                  <c:v>40633</c:v>
                </c:pt>
                <c:pt idx="2">
                  <c:v>40999</c:v>
                </c:pt>
                <c:pt idx="3">
                  <c:v>41364</c:v>
                </c:pt>
                <c:pt idx="4">
                  <c:v>41729</c:v>
                </c:pt>
                <c:pt idx="5">
                  <c:v>42094</c:v>
                </c:pt>
                <c:pt idx="6">
                  <c:v>42460</c:v>
                </c:pt>
                <c:pt idx="7">
                  <c:v>42825</c:v>
                </c:pt>
                <c:pt idx="8">
                  <c:v>43190</c:v>
                </c:pt>
                <c:pt idx="9">
                  <c:v>43555</c:v>
                </c:pt>
              </c:numCache>
            </c:numRef>
          </c:cat>
          <c:val>
            <c:numRef>
              <c:f>Charts!$B$68:$K$68</c:f>
              <c:numCache>
                <c:formatCode>_ * #,##0_ ;_ * \-#,##0_ ;_ * "-"??_ ;_ @_ </c:formatCode>
                <c:ptCount val="10"/>
                <c:pt idx="0">
                  <c:v>5290.04</c:v>
                </c:pt>
                <c:pt idx="1">
                  <c:v>5760.68</c:v>
                </c:pt>
                <c:pt idx="2">
                  <c:v>7671.32</c:v>
                </c:pt>
                <c:pt idx="3">
                  <c:v>9185.7000000000007</c:v>
                </c:pt>
                <c:pt idx="4">
                  <c:v>10770.88</c:v>
                </c:pt>
                <c:pt idx="5">
                  <c:v>12090.52</c:v>
                </c:pt>
                <c:pt idx="6">
                  <c:v>14048</c:v>
                </c:pt>
                <c:pt idx="7">
                  <c:v>16312</c:v>
                </c:pt>
                <c:pt idx="8">
                  <c:v>17378</c:v>
                </c:pt>
                <c:pt idx="9">
                  <c:v>21837</c:v>
                </c:pt>
              </c:numCache>
            </c:numRef>
          </c:val>
          <c:extLst>
            <c:ext xmlns:c16="http://schemas.microsoft.com/office/drawing/2014/chart" uri="{C3380CC4-5D6E-409C-BE32-E72D297353CC}">
              <c16:uniqueId val="{00000000-5CBF-4601-96D0-0E949031A41A}"/>
            </c:ext>
          </c:extLst>
        </c:ser>
        <c:dLbls>
          <c:showLegendKey val="0"/>
          <c:showVal val="0"/>
          <c:showCatName val="0"/>
          <c:showSerName val="0"/>
          <c:showPercent val="0"/>
          <c:showBubbleSize val="0"/>
        </c:dLbls>
        <c:gapWidth val="219"/>
        <c:overlap val="-27"/>
        <c:axId val="683224728"/>
        <c:axId val="683225056"/>
      </c:barChart>
      <c:dateAx>
        <c:axId val="6832247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5056"/>
        <c:crosses val="autoZero"/>
        <c:auto val="1"/>
        <c:lblOffset val="100"/>
        <c:baseTimeUnit val="years"/>
      </c:dateAx>
      <c:valAx>
        <c:axId val="6832250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Over Time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295849737532809"/>
          <c:y val="0.11656240886555849"/>
          <c:w val="0.82839566929133857"/>
          <c:h val="0.53232793817439483"/>
        </c:manualLayout>
      </c:layout>
      <c:barChart>
        <c:barDir val="col"/>
        <c:grouping val="clustered"/>
        <c:varyColors val="0"/>
        <c:ser>
          <c:idx val="0"/>
          <c:order val="0"/>
          <c:tx>
            <c:strRef>
              <c:f>Charts!$A$69</c:f>
              <c:strCache>
                <c:ptCount val="1"/>
                <c:pt idx="0">
                  <c:v>PBT</c:v>
                </c:pt>
              </c:strCache>
            </c:strRef>
          </c:tx>
          <c:spPr>
            <a:solidFill>
              <a:schemeClr val="accent1"/>
            </a:solidFill>
            <a:ln>
              <a:noFill/>
            </a:ln>
            <a:effectLst/>
          </c:spPr>
          <c:invertIfNegative val="0"/>
          <c:cat>
            <c:numRef>
              <c:f>Charts!$B$67:$K$67</c:f>
              <c:numCache>
                <c:formatCode>[$-409]mmm/yy;@</c:formatCode>
                <c:ptCount val="10"/>
                <c:pt idx="0">
                  <c:v>40268</c:v>
                </c:pt>
                <c:pt idx="1">
                  <c:v>40633</c:v>
                </c:pt>
                <c:pt idx="2">
                  <c:v>40999</c:v>
                </c:pt>
                <c:pt idx="3">
                  <c:v>41364</c:v>
                </c:pt>
                <c:pt idx="4">
                  <c:v>41729</c:v>
                </c:pt>
                <c:pt idx="5">
                  <c:v>42094</c:v>
                </c:pt>
                <c:pt idx="6">
                  <c:v>42460</c:v>
                </c:pt>
                <c:pt idx="7">
                  <c:v>42825</c:v>
                </c:pt>
                <c:pt idx="8">
                  <c:v>43190</c:v>
                </c:pt>
                <c:pt idx="9">
                  <c:v>43555</c:v>
                </c:pt>
              </c:numCache>
            </c:numRef>
          </c:cat>
          <c:val>
            <c:numRef>
              <c:f>Charts!$B$69:$K$69</c:f>
              <c:numCache>
                <c:formatCode>_ * #,##0_ ;_ * \-#,##0_ ;_ * "-"??_ ;_ @_ </c:formatCode>
                <c:ptCount val="10"/>
                <c:pt idx="0">
                  <c:v>598.69999999999982</c:v>
                </c:pt>
                <c:pt idx="1">
                  <c:v>664.44</c:v>
                </c:pt>
                <c:pt idx="2">
                  <c:v>728.70000000000107</c:v>
                </c:pt>
                <c:pt idx="3">
                  <c:v>943.88000000000125</c:v>
                </c:pt>
                <c:pt idx="4">
                  <c:v>1156.5399999999991</c:v>
                </c:pt>
                <c:pt idx="5">
                  <c:v>1410.3700000000026</c:v>
                </c:pt>
                <c:pt idx="6">
                  <c:v>1117</c:v>
                </c:pt>
                <c:pt idx="7">
                  <c:v>1922</c:v>
                </c:pt>
                <c:pt idx="8">
                  <c:v>2305</c:v>
                </c:pt>
                <c:pt idx="9">
                  <c:v>1684</c:v>
                </c:pt>
              </c:numCache>
            </c:numRef>
          </c:val>
          <c:extLst>
            <c:ext xmlns:c16="http://schemas.microsoft.com/office/drawing/2014/chart" uri="{C3380CC4-5D6E-409C-BE32-E72D297353CC}">
              <c16:uniqueId val="{00000000-2C56-4BEE-93A3-2E2983257535}"/>
            </c:ext>
          </c:extLst>
        </c:ser>
        <c:ser>
          <c:idx val="1"/>
          <c:order val="1"/>
          <c:tx>
            <c:strRef>
              <c:f>Charts!$A$70</c:f>
              <c:strCache>
                <c:ptCount val="1"/>
                <c:pt idx="0">
                  <c:v>Net Profit</c:v>
                </c:pt>
              </c:strCache>
            </c:strRef>
          </c:tx>
          <c:spPr>
            <a:solidFill>
              <a:schemeClr val="accent2"/>
            </a:solidFill>
            <a:ln>
              <a:noFill/>
            </a:ln>
            <a:effectLst/>
          </c:spPr>
          <c:invertIfNegative val="0"/>
          <c:cat>
            <c:numRef>
              <c:f>Charts!$B$67:$K$67</c:f>
              <c:numCache>
                <c:formatCode>[$-409]mmm/yy;@</c:formatCode>
                <c:ptCount val="10"/>
                <c:pt idx="0">
                  <c:v>40268</c:v>
                </c:pt>
                <c:pt idx="1">
                  <c:v>40633</c:v>
                </c:pt>
                <c:pt idx="2">
                  <c:v>40999</c:v>
                </c:pt>
                <c:pt idx="3">
                  <c:v>41364</c:v>
                </c:pt>
                <c:pt idx="4">
                  <c:v>41729</c:v>
                </c:pt>
                <c:pt idx="5">
                  <c:v>42094</c:v>
                </c:pt>
                <c:pt idx="6">
                  <c:v>42460</c:v>
                </c:pt>
                <c:pt idx="7">
                  <c:v>42825</c:v>
                </c:pt>
                <c:pt idx="8">
                  <c:v>43190</c:v>
                </c:pt>
                <c:pt idx="9">
                  <c:v>43555</c:v>
                </c:pt>
              </c:numCache>
            </c:numRef>
          </c:cat>
          <c:val>
            <c:numRef>
              <c:f>Charts!$B$70:$K$70</c:f>
              <c:numCache>
                <c:formatCode>_ * #,##0_ ;_ * \-#,##0_ ;_ * "-"??_ ;_ @_ </c:formatCode>
                <c:ptCount val="10"/>
                <c:pt idx="0">
                  <c:v>513.3399999999998</c:v>
                </c:pt>
                <c:pt idx="1">
                  <c:v>591.36</c:v>
                </c:pt>
                <c:pt idx="2">
                  <c:v>600.69000000000108</c:v>
                </c:pt>
                <c:pt idx="3">
                  <c:v>740.71000000000129</c:v>
                </c:pt>
                <c:pt idx="4">
                  <c:v>934.849999999999</c:v>
                </c:pt>
                <c:pt idx="5">
                  <c:v>1166.3600000000026</c:v>
                </c:pt>
                <c:pt idx="6">
                  <c:v>952</c:v>
                </c:pt>
                <c:pt idx="7">
                  <c:v>1733</c:v>
                </c:pt>
                <c:pt idx="8">
                  <c:v>2030</c:v>
                </c:pt>
                <c:pt idx="9">
                  <c:v>1519</c:v>
                </c:pt>
              </c:numCache>
            </c:numRef>
          </c:val>
          <c:extLst>
            <c:ext xmlns:c16="http://schemas.microsoft.com/office/drawing/2014/chart" uri="{C3380CC4-5D6E-409C-BE32-E72D297353CC}">
              <c16:uniqueId val="{00000001-2C56-4BEE-93A3-2E2983257535}"/>
            </c:ext>
          </c:extLst>
        </c:ser>
        <c:dLbls>
          <c:showLegendKey val="0"/>
          <c:showVal val="0"/>
          <c:showCatName val="0"/>
          <c:showSerName val="0"/>
          <c:showPercent val="0"/>
          <c:showBubbleSize val="0"/>
        </c:dLbls>
        <c:gapWidth val="219"/>
        <c:overlap val="-27"/>
        <c:axId val="745524456"/>
        <c:axId val="745517240"/>
      </c:barChart>
      <c:dateAx>
        <c:axId val="7455244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17240"/>
        <c:crosses val="autoZero"/>
        <c:auto val="1"/>
        <c:lblOffset val="100"/>
        <c:baseTimeUnit val="years"/>
      </c:dateAx>
      <c:valAx>
        <c:axId val="745517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24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Operating and Free Cash Flow</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597357178756912"/>
          <c:y val="0.11656240886555849"/>
          <c:w val="0.82477110906349471"/>
          <c:h val="0.53232793817439483"/>
        </c:manualLayout>
      </c:layout>
      <c:barChart>
        <c:barDir val="col"/>
        <c:grouping val="clustered"/>
        <c:varyColors val="0"/>
        <c:ser>
          <c:idx val="0"/>
          <c:order val="0"/>
          <c:tx>
            <c:strRef>
              <c:f>Charts!$A$74</c:f>
              <c:strCache>
                <c:ptCount val="1"/>
                <c:pt idx="0">
                  <c:v>Operating Cash Flow</c:v>
                </c:pt>
              </c:strCache>
            </c:strRef>
          </c:tx>
          <c:spPr>
            <a:solidFill>
              <a:schemeClr val="accent1"/>
            </a:solidFill>
            <a:ln>
              <a:noFill/>
            </a:ln>
            <a:effectLst/>
          </c:spPr>
          <c:invertIfNegative val="0"/>
          <c:cat>
            <c:numRef>
              <c:f>Charts!$B$73:$K$73</c:f>
              <c:numCache>
                <c:formatCode>[$-409]mmm/yy;@</c:formatCode>
                <c:ptCount val="10"/>
                <c:pt idx="0">
                  <c:v>40268</c:v>
                </c:pt>
                <c:pt idx="1">
                  <c:v>40633</c:v>
                </c:pt>
                <c:pt idx="2">
                  <c:v>40999</c:v>
                </c:pt>
                <c:pt idx="3">
                  <c:v>41364</c:v>
                </c:pt>
                <c:pt idx="4">
                  <c:v>41729</c:v>
                </c:pt>
                <c:pt idx="5">
                  <c:v>42094</c:v>
                </c:pt>
                <c:pt idx="6">
                  <c:v>42460</c:v>
                </c:pt>
                <c:pt idx="7">
                  <c:v>42825</c:v>
                </c:pt>
                <c:pt idx="8">
                  <c:v>43190</c:v>
                </c:pt>
                <c:pt idx="9">
                  <c:v>43555</c:v>
                </c:pt>
              </c:numCache>
            </c:numRef>
          </c:cat>
          <c:val>
            <c:numRef>
              <c:f>Charts!$B$74:$K$74</c:f>
              <c:numCache>
                <c:formatCode>_ * #,##0_ ;_ * \-#,##0_ ;_ * "-"??_ ;_ @_ </c:formatCode>
                <c:ptCount val="10"/>
                <c:pt idx="0">
                  <c:v>1293.5899999999999</c:v>
                </c:pt>
                <c:pt idx="1">
                  <c:v>814.82</c:v>
                </c:pt>
                <c:pt idx="2">
                  <c:v>161.96</c:v>
                </c:pt>
                <c:pt idx="3">
                  <c:v>1699.23</c:v>
                </c:pt>
                <c:pt idx="4">
                  <c:v>1440.8</c:v>
                </c:pt>
                <c:pt idx="5">
                  <c:v>1409.02</c:v>
                </c:pt>
                <c:pt idx="6">
                  <c:v>1396</c:v>
                </c:pt>
                <c:pt idx="7">
                  <c:v>2585</c:v>
                </c:pt>
                <c:pt idx="8">
                  <c:v>2839</c:v>
                </c:pt>
                <c:pt idx="9">
                  <c:v>2356</c:v>
                </c:pt>
              </c:numCache>
            </c:numRef>
          </c:val>
          <c:extLst>
            <c:ext xmlns:c16="http://schemas.microsoft.com/office/drawing/2014/chart" uri="{C3380CC4-5D6E-409C-BE32-E72D297353CC}">
              <c16:uniqueId val="{00000000-10E8-4AF9-9F83-7D71D7A3DA33}"/>
            </c:ext>
          </c:extLst>
        </c:ser>
        <c:ser>
          <c:idx val="1"/>
          <c:order val="1"/>
          <c:tx>
            <c:strRef>
              <c:f>Charts!$A$75</c:f>
              <c:strCache>
                <c:ptCount val="1"/>
                <c:pt idx="0">
                  <c:v>Free Cash Flow</c:v>
                </c:pt>
              </c:strCache>
            </c:strRef>
          </c:tx>
          <c:spPr>
            <a:solidFill>
              <a:schemeClr val="accent2"/>
            </a:solidFill>
            <a:ln>
              <a:noFill/>
            </a:ln>
            <a:effectLst/>
          </c:spPr>
          <c:invertIfNegative val="0"/>
          <c:cat>
            <c:numRef>
              <c:f>Charts!$B$73:$K$73</c:f>
              <c:numCache>
                <c:formatCode>[$-409]mmm/yy;@</c:formatCode>
                <c:ptCount val="10"/>
                <c:pt idx="0">
                  <c:v>40268</c:v>
                </c:pt>
                <c:pt idx="1">
                  <c:v>40633</c:v>
                </c:pt>
                <c:pt idx="2">
                  <c:v>40999</c:v>
                </c:pt>
                <c:pt idx="3">
                  <c:v>41364</c:v>
                </c:pt>
                <c:pt idx="4">
                  <c:v>41729</c:v>
                </c:pt>
                <c:pt idx="5">
                  <c:v>42094</c:v>
                </c:pt>
                <c:pt idx="6">
                  <c:v>42460</c:v>
                </c:pt>
                <c:pt idx="7">
                  <c:v>42825</c:v>
                </c:pt>
                <c:pt idx="8">
                  <c:v>43190</c:v>
                </c:pt>
                <c:pt idx="9">
                  <c:v>43555</c:v>
                </c:pt>
              </c:numCache>
            </c:numRef>
          </c:cat>
          <c:val>
            <c:numRef>
              <c:f>Charts!$B$75:$K$75</c:f>
              <c:numCache>
                <c:formatCode>_ * #,##0_ ;_ * \-#,##0_ ;_ * "-"??_ ;_ @_ </c:formatCode>
                <c:ptCount val="10"/>
                <c:pt idx="0">
                  <c:v>1065.1399999999999</c:v>
                </c:pt>
                <c:pt idx="1">
                  <c:v>390.06000000000006</c:v>
                </c:pt>
                <c:pt idx="2">
                  <c:v>1171.5400000000002</c:v>
                </c:pt>
                <c:pt idx="3">
                  <c:v>1219.6699999999994</c:v>
                </c:pt>
                <c:pt idx="4">
                  <c:v>546.0500000000003</c:v>
                </c:pt>
                <c:pt idx="5">
                  <c:v>822.02000000000021</c:v>
                </c:pt>
                <c:pt idx="6">
                  <c:v>2501.2199999999998</c:v>
                </c:pt>
                <c:pt idx="7">
                  <c:v>779</c:v>
                </c:pt>
                <c:pt idx="8">
                  <c:v>1713</c:v>
                </c:pt>
                <c:pt idx="9">
                  <c:v>23348</c:v>
                </c:pt>
              </c:numCache>
            </c:numRef>
          </c:val>
          <c:extLst>
            <c:ext xmlns:c16="http://schemas.microsoft.com/office/drawing/2014/chart" uri="{C3380CC4-5D6E-409C-BE32-E72D297353CC}">
              <c16:uniqueId val="{00000001-10E8-4AF9-9F83-7D71D7A3DA33}"/>
            </c:ext>
          </c:extLst>
        </c:ser>
        <c:dLbls>
          <c:showLegendKey val="0"/>
          <c:showVal val="0"/>
          <c:showCatName val="0"/>
          <c:showSerName val="0"/>
          <c:showPercent val="0"/>
          <c:showBubbleSize val="0"/>
        </c:dLbls>
        <c:gapWidth val="219"/>
        <c:overlap val="-27"/>
        <c:axId val="750653480"/>
        <c:axId val="750654792"/>
      </c:barChart>
      <c:dateAx>
        <c:axId val="7506534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4792"/>
        <c:crosses val="autoZero"/>
        <c:auto val="1"/>
        <c:lblOffset val="100"/>
        <c:baseTimeUnit val="years"/>
      </c:dateAx>
      <c:valAx>
        <c:axId val="7506547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3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'Profit &amp; Loss'!$A$30</c:f>
              <c:strCache>
                <c:ptCount val="1"/>
                <c:pt idx="0">
                  <c:v>PE Ratio</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extLst>
                <c:ext xmlns:c15="http://schemas.microsoft.com/office/drawing/2012/chart" uri="{02D57815-91ED-43cb-92C2-25804820EDAC}">
                  <c15:fullRef>
                    <c15:sqref>'Profit &amp; Loss'!$B$3:$L$3</c15:sqref>
                  </c15:fullRef>
                </c:ext>
              </c:extLst>
              <c:f>'Profit &amp; Loss'!$B$3:$K$3</c:f>
              <c:strCache>
                <c:ptCount val="10"/>
                <c:pt idx="0">
                  <c:v>Mar-10</c:v>
                </c:pt>
                <c:pt idx="1">
                  <c:v>Mar-11</c:v>
                </c:pt>
                <c:pt idx="2">
                  <c:v>Mar-12</c:v>
                </c:pt>
                <c:pt idx="3">
                  <c:v>Mar-13</c:v>
                </c:pt>
                <c:pt idx="4">
                  <c:v>Mar-14</c:v>
                </c:pt>
                <c:pt idx="5">
                  <c:v>Mar-15</c:v>
                </c:pt>
                <c:pt idx="6">
                  <c:v>Mar-16</c:v>
                </c:pt>
                <c:pt idx="7">
                  <c:v>Mar-17</c:v>
                </c:pt>
                <c:pt idx="8">
                  <c:v>Mar-18</c:v>
                </c:pt>
                <c:pt idx="9">
                  <c:v>Mar-19</c:v>
                </c:pt>
              </c:strCache>
            </c:strRef>
          </c:cat>
          <c:val>
            <c:numRef>
              <c:extLst>
                <c:ext xmlns:c15="http://schemas.microsoft.com/office/drawing/2012/chart" uri="{02D57815-91ED-43cb-92C2-25804820EDAC}">
                  <c15:fullRef>
                    <c15:sqref>'Profit &amp; Loss'!$B$30:$L$30</c15:sqref>
                  </c15:fullRef>
                </c:ext>
              </c:extLst>
              <c:f>'Profit &amp; Loss'!$B$30:$K$30</c:f>
              <c:numCache>
                <c:formatCode>_ * #,##0.0_ ;_ * \-#,##0.0_ ;_ * "-"??_ ;_ @_ </c:formatCode>
                <c:ptCount val="10"/>
                <c:pt idx="0">
                  <c:v>8.5174325221023146</c:v>
                </c:pt>
                <c:pt idx="1">
                  <c:v>7.7802962355620942</c:v>
                </c:pt>
                <c:pt idx="2">
                  <c:v>6.6677129108225426</c:v>
                </c:pt>
                <c:pt idx="3">
                  <c:v>4.6769500244333049</c:v>
                </c:pt>
                <c:pt idx="4">
                  <c:v>5.6378528719880254</c:v>
                </c:pt>
                <c:pt idx="5">
                  <c:v>10.831962845689127</c:v>
                </c:pt>
                <c:pt idx="6">
                  <c:v>14.337983523191177</c:v>
                </c:pt>
                <c:pt idx="7">
                  <c:v>14.177755071136758</c:v>
                </c:pt>
                <c:pt idx="8">
                  <c:v>12.214710533164039</c:v>
                </c:pt>
                <c:pt idx="9">
                  <c:v>21.433902920844634</c:v>
                </c:pt>
              </c:numCache>
            </c:numRef>
          </c:val>
          <c:smooth val="0"/>
          <c:extLst>
            <c:ext xmlns:c16="http://schemas.microsoft.com/office/drawing/2014/chart" uri="{C3380CC4-5D6E-409C-BE32-E72D297353CC}">
              <c16:uniqueId val="{00000001-B863-4214-9F4D-C0510A7A3384}"/>
            </c:ext>
          </c:extLst>
        </c:ser>
        <c:dLbls>
          <c:showLegendKey val="0"/>
          <c:showVal val="0"/>
          <c:showCatName val="0"/>
          <c:showSerName val="0"/>
          <c:showPercent val="0"/>
          <c:showBubbleSize val="0"/>
        </c:dLbls>
        <c:smooth val="0"/>
        <c:axId val="482796863"/>
        <c:axId val="271680991"/>
      </c:lineChart>
      <c:dateAx>
        <c:axId val="482796863"/>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80991"/>
        <c:crosses val="autoZero"/>
        <c:auto val="1"/>
        <c:lblOffset val="100"/>
        <c:baseTimeUnit val="years"/>
      </c:dateAx>
      <c:valAx>
        <c:axId val="271680991"/>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9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EV/EBITDA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'Profit &amp; Loss'!$A$36</c:f>
              <c:strCache>
                <c:ptCount val="1"/>
                <c:pt idx="0">
                  <c:v>EV/EBITDA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extLst>
                <c:ext xmlns:c15="http://schemas.microsoft.com/office/drawing/2012/chart" uri="{02D57815-91ED-43cb-92C2-25804820EDAC}">
                  <c15:fullRef>
                    <c15:sqref>'Profit &amp; Loss'!$B$3:$L$3</c15:sqref>
                  </c15:fullRef>
                </c:ext>
              </c:extLst>
              <c:f>'Profit &amp; Loss'!$B$3:$K$3</c:f>
              <c:strCache>
                <c:ptCount val="10"/>
                <c:pt idx="0">
                  <c:v>Mar-10</c:v>
                </c:pt>
                <c:pt idx="1">
                  <c:v>Mar-11</c:v>
                </c:pt>
                <c:pt idx="2">
                  <c:v>Mar-12</c:v>
                </c:pt>
                <c:pt idx="3">
                  <c:v>Mar-13</c:v>
                </c:pt>
                <c:pt idx="4">
                  <c:v>Mar-14</c:v>
                </c:pt>
                <c:pt idx="5">
                  <c:v>Mar-15</c:v>
                </c:pt>
                <c:pt idx="6">
                  <c:v>Mar-16</c:v>
                </c:pt>
                <c:pt idx="7">
                  <c:v>Mar-17</c:v>
                </c:pt>
                <c:pt idx="8">
                  <c:v>Mar-18</c:v>
                </c:pt>
                <c:pt idx="9">
                  <c:v>Mar-19</c:v>
                </c:pt>
                <c:pt idx="10">
                  <c:v>Trailing</c:v>
                </c:pt>
              </c:strCache>
            </c:strRef>
          </c:cat>
          <c:val>
            <c:numRef>
              <c:extLst>
                <c:ext xmlns:c15="http://schemas.microsoft.com/office/drawing/2012/chart" uri="{02D57815-91ED-43cb-92C2-25804820EDAC}">
                  <c15:fullRef>
                    <c15:sqref>'Profit &amp; Loss'!$B$36:$K$36</c15:sqref>
                  </c15:fullRef>
                </c:ext>
              </c:extLst>
              <c:f>'Profit &amp; Loss'!$B$36:$K$36</c:f>
              <c:numCache>
                <c:formatCode>_ * #,##0.0_ ;_ * \-#,##0.0_ ;_ * "-"??_ ;_ @_ </c:formatCode>
                <c:ptCount val="10"/>
                <c:pt idx="0">
                  <c:v>5.1766487066948645</c:v>
                </c:pt>
                <c:pt idx="1">
                  <c:v>4.8005158471081462</c:v>
                </c:pt>
                <c:pt idx="2">
                  <c:v>4.6625793806605715</c:v>
                </c:pt>
                <c:pt idx="3">
                  <c:v>3.5442461614991632</c:v>
                </c:pt>
                <c:pt idx="4">
                  <c:v>3.7082038283350514</c:v>
                </c:pt>
                <c:pt idx="5">
                  <c:v>6.3372414079917272</c:v>
                </c:pt>
                <c:pt idx="6">
                  <c:v>7.0960193488498202</c:v>
                </c:pt>
                <c:pt idx="7">
                  <c:v>8.4217631535836581</c:v>
                </c:pt>
                <c:pt idx="8">
                  <c:v>7.5843375982787666</c:v>
                </c:pt>
                <c:pt idx="9">
                  <c:v>16.274086984724281</c:v>
                </c:pt>
              </c:numCache>
            </c:numRef>
          </c:val>
          <c:smooth val="0"/>
          <c:extLst>
            <c:ext xmlns:c16="http://schemas.microsoft.com/office/drawing/2014/chart" uri="{C3380CC4-5D6E-409C-BE32-E72D297353CC}">
              <c16:uniqueId val="{00000001-4FB4-4092-85A2-521C929ACDEA}"/>
            </c:ext>
          </c:extLst>
        </c:ser>
        <c:dLbls>
          <c:showLegendKey val="0"/>
          <c:showVal val="0"/>
          <c:showCatName val="0"/>
          <c:showSerName val="0"/>
          <c:showPercent val="0"/>
          <c:showBubbleSize val="0"/>
        </c:dLbls>
        <c:smooth val="0"/>
        <c:axId val="482796863"/>
        <c:axId val="271680991"/>
      </c:lineChart>
      <c:dateAx>
        <c:axId val="482796863"/>
        <c:scaling>
          <c:orientation val="minMax"/>
        </c:scaling>
        <c:delete val="0"/>
        <c:axPos val="b"/>
        <c:numFmt formatCode="[$-409]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80991"/>
        <c:crosses val="autoZero"/>
        <c:auto val="1"/>
        <c:lblOffset val="100"/>
        <c:baseTimeUnit val="years"/>
      </c:dateAx>
      <c:valAx>
        <c:axId val="271680991"/>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9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Football field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High-Low price range</c:v>
          </c:tx>
          <c:spPr>
            <a:solidFill>
              <a:srgbClr val="0070C0"/>
            </a:solidFill>
            <a:ln>
              <a:noFill/>
            </a:ln>
            <a:effectLst/>
          </c:spPr>
          <c:invertIfNegative val="0"/>
          <c:cat>
            <c:strRef>
              <c:f>'Intrinsic Values'!$A$4:$A$7</c:f>
              <c:strCache>
                <c:ptCount val="4"/>
                <c:pt idx="0">
                  <c:v>DCF - FCFE</c:v>
                </c:pt>
                <c:pt idx="1">
                  <c:v>DCF - FCFF</c:v>
                </c:pt>
                <c:pt idx="2">
                  <c:v>Expected Returns</c:v>
                </c:pt>
                <c:pt idx="3">
                  <c:v>EBITDA Multiple</c:v>
                </c:pt>
              </c:strCache>
            </c:strRef>
          </c:cat>
          <c:val>
            <c:numRef>
              <c:f>'Intrinsic Values'!$C$4:$C$7</c:f>
              <c:numCache>
                <c:formatCode>_ * #,##0_ ;_ * \-#,##0_ ;_ * "-"??_ ;_ @_ </c:formatCode>
                <c:ptCount val="4"/>
                <c:pt idx="0">
                  <c:v>0</c:v>
                </c:pt>
                <c:pt idx="1">
                  <c:v>422.45756052439452</c:v>
                </c:pt>
                <c:pt idx="2">
                  <c:v>466.05630666027116</c:v>
                </c:pt>
                <c:pt idx="3">
                  <c:v>523.52905068996347</c:v>
                </c:pt>
              </c:numCache>
            </c:numRef>
          </c:val>
          <c:extLst>
            <c:ext xmlns:c16="http://schemas.microsoft.com/office/drawing/2014/chart" uri="{C3380CC4-5D6E-409C-BE32-E72D297353CC}">
              <c16:uniqueId val="{00000000-27CE-472B-8C8B-C2FEDCD951D0}"/>
            </c:ext>
          </c:extLst>
        </c:ser>
        <c:ser>
          <c:idx val="1"/>
          <c:order val="1"/>
          <c:tx>
            <c:v>|</c:v>
          </c:tx>
          <c:spPr>
            <a:solidFill>
              <a:schemeClr val="bg1"/>
            </a:solidFill>
            <a:ln>
              <a:noFill/>
            </a:ln>
            <a:effectLst/>
          </c:spPr>
          <c:invertIfNegative val="0"/>
          <c:cat>
            <c:strRef>
              <c:f>'Intrinsic Values'!$A$4:$A$7</c:f>
              <c:strCache>
                <c:ptCount val="4"/>
                <c:pt idx="0">
                  <c:v>DCF - FCFE</c:v>
                </c:pt>
                <c:pt idx="1">
                  <c:v>DCF - FCFF</c:v>
                </c:pt>
                <c:pt idx="2">
                  <c:v>Expected Returns</c:v>
                </c:pt>
                <c:pt idx="3">
                  <c:v>EBITDA Multiple</c:v>
                </c:pt>
              </c:strCache>
            </c:strRef>
          </c:cat>
          <c:val>
            <c:numRef>
              <c:f>'Intrinsic Values'!$B$4:$B$7</c:f>
              <c:numCache>
                <c:formatCode>_ * #,##0_ ;_ * \-#,##0_ ;_ * "-"??_ ;_ @_ </c:formatCode>
                <c:ptCount val="4"/>
                <c:pt idx="0">
                  <c:v>0</c:v>
                </c:pt>
                <c:pt idx="1">
                  <c:v>362.81260611472607</c:v>
                </c:pt>
                <c:pt idx="2">
                  <c:v>372.845045328217</c:v>
                </c:pt>
                <c:pt idx="3">
                  <c:v>392.6467880174726</c:v>
                </c:pt>
              </c:numCache>
            </c:numRef>
          </c:val>
          <c:extLst>
            <c:ext xmlns:c16="http://schemas.microsoft.com/office/drawing/2014/chart" uri="{C3380CC4-5D6E-409C-BE32-E72D297353CC}">
              <c16:uniqueId val="{00000001-27CE-472B-8C8B-C2FEDCD951D0}"/>
            </c:ext>
          </c:extLst>
        </c:ser>
        <c:dLbls>
          <c:showLegendKey val="0"/>
          <c:showVal val="0"/>
          <c:showCatName val="0"/>
          <c:showSerName val="0"/>
          <c:showPercent val="0"/>
          <c:showBubbleSize val="0"/>
        </c:dLbls>
        <c:gapWidth val="182"/>
        <c:overlap val="100"/>
        <c:axId val="494023695"/>
        <c:axId val="491425311"/>
      </c:barChart>
      <c:lineChart>
        <c:grouping val="standard"/>
        <c:varyColors val="0"/>
        <c:ser>
          <c:idx val="2"/>
          <c:order val="2"/>
          <c:tx>
            <c:v>CMP</c:v>
          </c:tx>
          <c:spPr>
            <a:ln w="28575" cap="rnd">
              <a:solidFill>
                <a:schemeClr val="accent3"/>
              </a:solidFill>
              <a:round/>
            </a:ln>
            <a:effectLst/>
          </c:spPr>
          <c:marker>
            <c:symbol val="none"/>
          </c:marker>
          <c:cat>
            <c:strRef>
              <c:f>'Intrinsic Values'!$A$4:$A$7</c:f>
              <c:strCache>
                <c:ptCount val="4"/>
                <c:pt idx="0">
                  <c:v>DCF - FCFE</c:v>
                </c:pt>
                <c:pt idx="1">
                  <c:v>DCF - FCFF</c:v>
                </c:pt>
                <c:pt idx="2">
                  <c:v>Expected Returns</c:v>
                </c:pt>
                <c:pt idx="3">
                  <c:v>EBITDA Multiple</c:v>
                </c:pt>
              </c:strCache>
            </c:strRef>
          </c:cat>
          <c:val>
            <c:numRef>
              <c:f>'Intrinsic Values'!$D$4:$D$7</c:f>
              <c:numCache>
                <c:formatCode>_ * #,##0_ ;_ * \-#,##0_ ;_ * "-"??_ ;_ @_ </c:formatCode>
                <c:ptCount val="4"/>
                <c:pt idx="0">
                  <c:v>360</c:v>
                </c:pt>
                <c:pt idx="1">
                  <c:v>360</c:v>
                </c:pt>
                <c:pt idx="2">
                  <c:v>360</c:v>
                </c:pt>
                <c:pt idx="3">
                  <c:v>360</c:v>
                </c:pt>
              </c:numCache>
            </c:numRef>
          </c:val>
          <c:smooth val="0"/>
          <c:extLst>
            <c:ext xmlns:c16="http://schemas.microsoft.com/office/drawing/2014/chart" uri="{C3380CC4-5D6E-409C-BE32-E72D297353CC}">
              <c16:uniqueId val="{00000002-27CE-472B-8C8B-C2FEDCD951D0}"/>
            </c:ext>
          </c:extLst>
        </c:ser>
        <c:dLbls>
          <c:showLegendKey val="0"/>
          <c:showVal val="0"/>
          <c:showCatName val="0"/>
          <c:showSerName val="0"/>
          <c:showPercent val="0"/>
          <c:showBubbleSize val="0"/>
        </c:dLbls>
        <c:marker val="1"/>
        <c:smooth val="0"/>
        <c:axId val="494023695"/>
        <c:axId val="491425311"/>
      </c:lineChart>
      <c:catAx>
        <c:axId val="49402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25311"/>
        <c:crosses val="autoZero"/>
        <c:auto val="1"/>
        <c:lblAlgn val="ctr"/>
        <c:lblOffset val="100"/>
        <c:noMultiLvlLbl val="0"/>
      </c:catAx>
      <c:valAx>
        <c:axId val="491425311"/>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23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6350</xdr:rowOff>
    </xdr:from>
    <xdr:to>
      <xdr:col>7</xdr:col>
      <xdr:colOff>460375</xdr:colOff>
      <xdr:row>14</xdr:row>
      <xdr:rowOff>171450</xdr:rowOff>
    </xdr:to>
    <xdr:graphicFrame macro="">
      <xdr:nvGraphicFramePr>
        <xdr:cNvPr id="5" name="Chart 4">
          <a:extLst>
            <a:ext uri="{FF2B5EF4-FFF2-40B4-BE49-F238E27FC236}">
              <a16:creationId xmlns:a16="http://schemas.microsoft.com/office/drawing/2014/main" id="{39619E8A-D22F-490B-B95E-81C73B5A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466725</xdr:colOff>
      <xdr:row>0</xdr:row>
      <xdr:rowOff>12700</xdr:rowOff>
    </xdr:from>
    <xdr:to>
      <xdr:col>15</xdr:col>
      <xdr:colOff>593725</xdr:colOff>
      <xdr:row>14</xdr:row>
      <xdr:rowOff>177800</xdr:rowOff>
    </xdr:to>
    <xdr:graphicFrame macro="">
      <xdr:nvGraphicFramePr>
        <xdr:cNvPr id="6" name="Chart 5">
          <a:extLst>
            <a:ext uri="{FF2B5EF4-FFF2-40B4-BE49-F238E27FC236}">
              <a16:creationId xmlns:a16="http://schemas.microsoft.com/office/drawing/2014/main" id="{5816AD59-8925-4B5F-9121-5221FEEC4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15</xdr:row>
      <xdr:rowOff>0</xdr:rowOff>
    </xdr:from>
    <xdr:to>
      <xdr:col>15</xdr:col>
      <xdr:colOff>593725</xdr:colOff>
      <xdr:row>29</xdr:row>
      <xdr:rowOff>165100</xdr:rowOff>
    </xdr:to>
    <xdr:graphicFrame macro="">
      <xdr:nvGraphicFramePr>
        <xdr:cNvPr id="7" name="Chart 6">
          <a:extLst>
            <a:ext uri="{FF2B5EF4-FFF2-40B4-BE49-F238E27FC236}">
              <a16:creationId xmlns:a16="http://schemas.microsoft.com/office/drawing/2014/main" id="{1BB77CB2-6C1C-411A-89AA-DC501FF82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xdr:colOff>
      <xdr:row>14</xdr:row>
      <xdr:rowOff>177800</xdr:rowOff>
    </xdr:from>
    <xdr:to>
      <xdr:col>7</xdr:col>
      <xdr:colOff>460375</xdr:colOff>
      <xdr:row>29</xdr:row>
      <xdr:rowOff>158750</xdr:rowOff>
    </xdr:to>
    <xdr:graphicFrame macro="">
      <xdr:nvGraphicFramePr>
        <xdr:cNvPr id="9" name="Chart 8">
          <a:extLst>
            <a:ext uri="{FF2B5EF4-FFF2-40B4-BE49-F238E27FC236}">
              <a16:creationId xmlns:a16="http://schemas.microsoft.com/office/drawing/2014/main" id="{67DE20ED-17D6-4573-A827-3BB479739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xdr:colOff>
      <xdr:row>29</xdr:row>
      <xdr:rowOff>171450</xdr:rowOff>
    </xdr:from>
    <xdr:to>
      <xdr:col>7</xdr:col>
      <xdr:colOff>460375</xdr:colOff>
      <xdr:row>44</xdr:row>
      <xdr:rowOff>152400</xdr:rowOff>
    </xdr:to>
    <xdr:graphicFrame macro="">
      <xdr:nvGraphicFramePr>
        <xdr:cNvPr id="10" name="Chart 9">
          <a:extLst>
            <a:ext uri="{FF2B5EF4-FFF2-40B4-BE49-F238E27FC236}">
              <a16:creationId xmlns:a16="http://schemas.microsoft.com/office/drawing/2014/main" id="{8688299A-9C5F-4875-9EFD-FDF0F4EAF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466725</xdr:colOff>
      <xdr:row>29</xdr:row>
      <xdr:rowOff>171450</xdr:rowOff>
    </xdr:from>
    <xdr:to>
      <xdr:col>15</xdr:col>
      <xdr:colOff>593725</xdr:colOff>
      <xdr:row>44</xdr:row>
      <xdr:rowOff>152400</xdr:rowOff>
    </xdr:to>
    <xdr:graphicFrame macro="">
      <xdr:nvGraphicFramePr>
        <xdr:cNvPr id="2" name="Chart 1">
          <a:extLst>
            <a:ext uri="{FF2B5EF4-FFF2-40B4-BE49-F238E27FC236}">
              <a16:creationId xmlns:a16="http://schemas.microsoft.com/office/drawing/2014/main" id="{74B582DB-DE89-44DD-8E60-F9313AD5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8</xdr:row>
      <xdr:rowOff>0</xdr:rowOff>
    </xdr:from>
    <xdr:to>
      <xdr:col>11</xdr:col>
      <xdr:colOff>548640</xdr:colOff>
      <xdr:row>23</xdr:row>
      <xdr:rowOff>114300</xdr:rowOff>
    </xdr:to>
    <xdr:graphicFrame macro="">
      <xdr:nvGraphicFramePr>
        <xdr:cNvPr id="2" name="Chart 1">
          <a:extLst>
            <a:ext uri="{FF2B5EF4-FFF2-40B4-BE49-F238E27FC236}">
              <a16:creationId xmlns:a16="http://schemas.microsoft.com/office/drawing/2014/main" id="{8C3AEADA-8170-4E1D-BB71-D0E9138C1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60960</xdr:colOff>
      <xdr:row>8</xdr:row>
      <xdr:rowOff>0</xdr:rowOff>
    </xdr:from>
    <xdr:to>
      <xdr:col>11</xdr:col>
      <xdr:colOff>548640</xdr:colOff>
      <xdr:row>24</xdr:row>
      <xdr:rowOff>114300</xdr:rowOff>
    </xdr:to>
    <xdr:graphicFrame macro="">
      <xdr:nvGraphicFramePr>
        <xdr:cNvPr id="2" name="Chart 1">
          <a:extLst>
            <a:ext uri="{FF2B5EF4-FFF2-40B4-BE49-F238E27FC236}">
              <a16:creationId xmlns:a16="http://schemas.microsoft.com/office/drawing/2014/main" id="{9BCDAA6E-1EA0-4E43-A603-17C3D2C68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312420</xdr:colOff>
      <xdr:row>7</xdr:row>
      <xdr:rowOff>22860</xdr:rowOff>
    </xdr:from>
    <xdr:to>
      <xdr:col>12</xdr:col>
      <xdr:colOff>68580</xdr:colOff>
      <xdr:row>23</xdr:row>
      <xdr:rowOff>83820</xdr:rowOff>
    </xdr:to>
    <xdr:graphicFrame macro="">
      <xdr:nvGraphicFramePr>
        <xdr:cNvPr id="4" name="Chart 3">
          <a:extLst>
            <a:ext uri="{FF2B5EF4-FFF2-40B4-BE49-F238E27FC236}">
              <a16:creationId xmlns:a16="http://schemas.microsoft.com/office/drawing/2014/main" id="{0408EB47-FA3C-441B-991C-882CE5487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N35" headerRowCount="0" totalsRowCount="1" headerRowDxfId="74" dataDxfId="73">
  <tableColumns count="14">
    <tableColumn id="1" xr3:uid="{00000000-0010-0000-0000-000001000000}" name="Column1" totalsRowLabel="Enterprise Value" headerRowDxfId="72" dataDxfId="71" totalsRowDxfId="70"/>
    <tableColumn id="2" xr3:uid="{00000000-0010-0000-0000-000002000000}" name="Column2" totalsRowFunction="custom" headerRowDxfId="69" dataDxfId="68" totalsRowDxfId="67">
      <totalsRowFormula>B33+'Balance Sheet'!B23</totalsRowFormula>
    </tableColumn>
    <tableColumn id="3" xr3:uid="{00000000-0010-0000-0000-000003000000}" name="Column3" totalsRowFunction="custom" headerRowDxfId="66" dataDxfId="65" totalsRowDxfId="64">
      <totalsRowFormula>C33+'Balance Sheet'!C23</totalsRowFormula>
    </tableColumn>
    <tableColumn id="4" xr3:uid="{00000000-0010-0000-0000-000004000000}" name="Column4" totalsRowFunction="custom" headerRowDxfId="63" dataDxfId="62" totalsRowDxfId="61">
      <totalsRowFormula>D33+'Balance Sheet'!D23</totalsRowFormula>
    </tableColumn>
    <tableColumn id="5" xr3:uid="{00000000-0010-0000-0000-000005000000}" name="Column5" totalsRowFunction="custom" headerRowDxfId="60" dataDxfId="59" totalsRowDxfId="58">
      <totalsRowFormula>E33+'Balance Sheet'!E23</totalsRowFormula>
    </tableColumn>
    <tableColumn id="6" xr3:uid="{00000000-0010-0000-0000-000006000000}" name="Column6" totalsRowFunction="custom" headerRowDxfId="57" dataDxfId="56" totalsRowDxfId="55">
      <totalsRowFormula>F33+'Balance Sheet'!F23</totalsRowFormula>
    </tableColumn>
    <tableColumn id="7" xr3:uid="{00000000-0010-0000-0000-000007000000}" name="Column7" totalsRowFunction="custom" headerRowDxfId="54" dataDxfId="53" totalsRowDxfId="52">
      <totalsRowFormula>G33+'Balance Sheet'!G23</totalsRowFormula>
    </tableColumn>
    <tableColumn id="8" xr3:uid="{00000000-0010-0000-0000-000008000000}" name="Column8" totalsRowFunction="custom" headerRowDxfId="51" dataDxfId="50" totalsRowDxfId="49">
      <totalsRowFormula>H33+'Balance Sheet'!H23</totalsRowFormula>
    </tableColumn>
    <tableColumn id="9" xr3:uid="{00000000-0010-0000-0000-000009000000}" name="Column9" totalsRowFunction="custom" headerRowDxfId="48" dataDxfId="47" totalsRowDxfId="46">
      <totalsRowFormula>I33+'Balance Sheet'!I23</totalsRowFormula>
    </tableColumn>
    <tableColumn id="10" xr3:uid="{00000000-0010-0000-0000-00000A000000}" name="Column10" totalsRowFunction="custom" headerRowDxfId="45" dataDxfId="44" totalsRowDxfId="43">
      <totalsRowFormula>J33+'Balance Sheet'!J23</totalsRowFormula>
    </tableColumn>
    <tableColumn id="11" xr3:uid="{00000000-0010-0000-0000-00000B000000}" name="Column11" totalsRowFunction="custom" headerRowDxfId="42" dataDxfId="41" totalsRowDxfId="40">
      <totalsRowFormula>K33+'Balance Sheet'!K23</totalsRowFormula>
    </tableColumn>
    <tableColumn id="12" xr3:uid="{00000000-0010-0000-0000-00000C000000}" name="Column12" headerRowDxfId="39" dataDxfId="38" totalsRowDxfId="37"/>
    <tableColumn id="13" xr3:uid="{333E96D7-E41E-43CD-B90A-EE577DCA39B9}" name="Column13" headerRowDxfId="36" dataDxfId="35" totalsRowDxfId="34"/>
    <tableColumn id="14" xr3:uid="{262B5ABD-F46E-4476-842E-0593471EAC63}" name="Column14" headerRowDxfId="33" dataDxfId="32" totalsRowDxfId="31"/>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7" headerRowCount="0" totalsRowShown="0" headerRowDxfId="30" dataDxfId="29" tableBorderDxfId="28" totalsRowBorderDxfId="27">
  <tableColumns count="11">
    <tableColumn id="1" xr3:uid="{00000000-0010-0000-0100-000001000000}" name="Column1" headerRowDxfId="26" dataDxfId="25"/>
    <tableColumn id="2" xr3:uid="{00000000-0010-0000-0100-000002000000}" name="Column2" headerRowDxfId="24" dataDxfId="23"/>
    <tableColumn id="3" xr3:uid="{00000000-0010-0000-0100-000003000000}" name="Column3" headerRowDxfId="22" dataDxfId="21"/>
    <tableColumn id="4" xr3:uid="{00000000-0010-0000-0100-000004000000}" name="Column4" headerRowDxfId="20" dataDxfId="19"/>
    <tableColumn id="5" xr3:uid="{00000000-0010-0000-0100-000005000000}" name="Column5" headerRowDxfId="18" dataDxfId="17"/>
    <tableColumn id="6" xr3:uid="{00000000-0010-0000-0100-000006000000}" name="Column6" headerRowDxfId="16" dataDxfId="15"/>
    <tableColumn id="7" xr3:uid="{00000000-0010-0000-0100-000007000000}" name="Column7" headerRowDxfId="14" dataDxfId="13"/>
    <tableColumn id="8" xr3:uid="{00000000-0010-0000-0100-000008000000}" name="Column8" headerRowDxfId="12" dataDxfId="11"/>
    <tableColumn id="9" xr3:uid="{00000000-0010-0000-0100-000009000000}" name="Column9" headerRowDxfId="10" dataDxfId="9"/>
    <tableColumn id="10" xr3:uid="{00000000-0010-0000-0100-00000A000000}" name="Column10" headerRowDxfId="8" dataDxfId="7"/>
    <tableColumn id="11" xr3:uid="{00000000-0010-0000-0100-00000B000000}" name="Column11" headerRowDxfId="6" dataDxfId="5"/>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9.bin"/><Relationship Id="rId1" Type="http://schemas.openxmlformats.org/officeDocument/2006/relationships/hyperlink" Target="http://www.screener.i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screener.in/exce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CE27-A826-449A-B4CA-7EBB069471AF}">
  <dimension ref="A1:B15"/>
  <sheetViews>
    <sheetView workbookViewId="0">
      <selection activeCell="A19" sqref="A19"/>
    </sheetView>
  </sheetViews>
  <sheetFormatPr defaultColWidth="8.77734375" defaultRowHeight="13.2" x14ac:dyDescent="0.25"/>
  <cols>
    <col min="1" max="1" width="150.33203125" style="190" bestFit="1" customWidth="1"/>
    <col min="2" max="16384" width="8.77734375" style="190"/>
  </cols>
  <sheetData>
    <row r="1" spans="1:2" s="193" customFormat="1" ht="16.2" thickBot="1" x14ac:dyDescent="0.35">
      <c r="A1" s="191"/>
      <c r="B1" s="192"/>
    </row>
    <row r="2" spans="1:2" ht="15.6" x14ac:dyDescent="0.3">
      <c r="A2" s="194" t="s">
        <v>143</v>
      </c>
    </row>
    <row r="3" spans="1:2" ht="14.4" x14ac:dyDescent="0.3">
      <c r="A3" s="195" t="s">
        <v>151</v>
      </c>
    </row>
    <row r="4" spans="1:2" ht="14.4" x14ac:dyDescent="0.3">
      <c r="A4" s="197" t="s">
        <v>152</v>
      </c>
    </row>
    <row r="5" spans="1:2" x14ac:dyDescent="0.25">
      <c r="A5" s="224" t="s">
        <v>249</v>
      </c>
    </row>
    <row r="6" spans="1:2" ht="26.4" x14ac:dyDescent="0.25">
      <c r="A6" s="224" t="s">
        <v>250</v>
      </c>
    </row>
    <row r="8" spans="1:2" ht="13.8" thickBot="1" x14ac:dyDescent="0.3"/>
    <row r="9" spans="1:2" ht="15.6" x14ac:dyDescent="0.3">
      <c r="A9" s="194" t="s">
        <v>144</v>
      </c>
    </row>
    <row r="10" spans="1:2" ht="26.4" x14ac:dyDescent="0.25">
      <c r="A10" s="224" t="s">
        <v>251</v>
      </c>
    </row>
    <row r="11" spans="1:2" ht="26.4" x14ac:dyDescent="0.25">
      <c r="A11" s="224" t="s">
        <v>252</v>
      </c>
    </row>
    <row r="12" spans="1:2" ht="26.4" x14ac:dyDescent="0.25">
      <c r="A12" s="195" t="s">
        <v>148</v>
      </c>
    </row>
    <row r="13" spans="1:2" ht="26.4" x14ac:dyDescent="0.25">
      <c r="A13" s="195" t="s">
        <v>147</v>
      </c>
    </row>
    <row r="15" spans="1:2" x14ac:dyDescent="0.25">
      <c r="A15" s="196" t="s">
        <v>153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A00-A0D5-4FFF-90D7-C49DAC877E8D}">
  <dimension ref="A1:P43"/>
  <sheetViews>
    <sheetView workbookViewId="0">
      <selection activeCell="N32" sqref="N32"/>
    </sheetView>
  </sheetViews>
  <sheetFormatPr defaultColWidth="8.77734375" defaultRowHeight="13.2" x14ac:dyDescent="0.25"/>
  <cols>
    <col min="1" max="1" width="4.77734375" style="2" bestFit="1" customWidth="1"/>
    <col min="2" max="2" width="9.33203125" style="2" customWidth="1"/>
    <col min="3" max="3" width="12.6640625" style="2" bestFit="1" customWidth="1"/>
    <col min="4" max="4" width="16.21875" style="2" bestFit="1" customWidth="1"/>
    <col min="5" max="5" width="15.33203125" style="2" bestFit="1" customWidth="1"/>
    <col min="6" max="6" width="7.88671875" style="2" bestFit="1" customWidth="1"/>
    <col min="7" max="7" width="8.77734375" style="2"/>
    <col min="8" max="8" width="4.77734375" style="2" bestFit="1" customWidth="1"/>
    <col min="9" max="9" width="8.44140625" style="2" customWidth="1"/>
    <col min="10" max="10" width="10.88671875" style="2" bestFit="1" customWidth="1"/>
    <col min="11" max="11" width="16.21875" style="2" bestFit="1" customWidth="1"/>
    <col min="12" max="12" width="15.33203125" style="2" bestFit="1" customWidth="1"/>
    <col min="13" max="13" width="7" style="2" customWidth="1"/>
    <col min="14" max="14" width="8.77734375" style="2"/>
    <col min="15" max="15" width="15.33203125" style="2" customWidth="1"/>
    <col min="16" max="16384" width="8.77734375" style="2"/>
  </cols>
  <sheetData>
    <row r="1" spans="1:16" ht="19.2" x14ac:dyDescent="0.35">
      <c r="A1" s="375" t="s">
        <v>186</v>
      </c>
      <c r="B1" s="375"/>
      <c r="C1" s="375"/>
      <c r="D1" s="375"/>
      <c r="E1" s="375"/>
      <c r="F1" s="375"/>
      <c r="G1" s="375"/>
      <c r="H1" s="375"/>
      <c r="I1" s="375"/>
      <c r="J1" s="375"/>
      <c r="K1" s="375"/>
      <c r="L1" s="375"/>
      <c r="M1" s="375"/>
    </row>
    <row r="2" spans="1:16" ht="19.2" x14ac:dyDescent="0.35">
      <c r="A2" s="240"/>
      <c r="B2" s="240"/>
      <c r="C2" s="240"/>
      <c r="D2" s="240"/>
      <c r="E2" s="240"/>
      <c r="F2" s="240"/>
      <c r="G2" s="240"/>
      <c r="H2" s="240"/>
      <c r="I2" s="240"/>
      <c r="J2" s="240"/>
      <c r="K2" s="240"/>
      <c r="L2" s="240"/>
      <c r="M2" s="240"/>
    </row>
    <row r="3" spans="1:16" ht="19.8" thickBot="1" x14ac:dyDescent="0.4">
      <c r="A3" s="250"/>
      <c r="B3" s="250"/>
      <c r="C3" s="250" t="s">
        <v>187</v>
      </c>
      <c r="D3" s="250"/>
      <c r="E3" s="250"/>
      <c r="F3" s="250"/>
      <c r="G3" s="250"/>
      <c r="H3" s="250"/>
      <c r="I3" s="250"/>
      <c r="J3" s="250" t="s">
        <v>194</v>
      </c>
      <c r="K3" s="250"/>
      <c r="L3" s="250"/>
      <c r="M3" s="250"/>
    </row>
    <row r="4" spans="1:16" ht="13.8" thickBot="1" x14ac:dyDescent="0.3">
      <c r="O4" s="291" t="s">
        <v>269</v>
      </c>
      <c r="P4" s="292">
        <v>0.3</v>
      </c>
    </row>
    <row r="5" spans="1:16" x14ac:dyDescent="0.25">
      <c r="C5" s="249" t="s">
        <v>217</v>
      </c>
      <c r="J5" s="249" t="s">
        <v>217</v>
      </c>
      <c r="O5" s="285" t="s">
        <v>81</v>
      </c>
      <c r="P5" s="283">
        <f>'Balance Sheet'!K6/Summary!B7</f>
        <v>1.0594192039656622</v>
      </c>
    </row>
    <row r="6" spans="1:16" x14ac:dyDescent="0.25">
      <c r="O6" s="286" t="s">
        <v>163</v>
      </c>
      <c r="P6" s="284">
        <f>P5/(1+P5)</f>
        <v>0.51442620420632268</v>
      </c>
    </row>
    <row r="7" spans="1:16" ht="13.8" thickBot="1" x14ac:dyDescent="0.3">
      <c r="A7" s="373" t="str">
        <f>'Data Sheet'!B1</f>
        <v>UPL LTD</v>
      </c>
      <c r="B7" s="373"/>
      <c r="C7" s="373"/>
      <c r="D7" s="373"/>
      <c r="H7" s="373" t="str">
        <f>A7</f>
        <v>UPL LTD</v>
      </c>
      <c r="I7" s="373"/>
      <c r="J7" s="373"/>
      <c r="K7" s="373"/>
      <c r="O7" s="287" t="s">
        <v>81</v>
      </c>
      <c r="P7" s="142">
        <f>1-P6</f>
        <v>0.48557379579367732</v>
      </c>
    </row>
    <row r="8" spans="1:16" x14ac:dyDescent="0.25">
      <c r="A8" s="24" t="s">
        <v>87</v>
      </c>
      <c r="B8" s="25"/>
      <c r="C8" s="26" t="s">
        <v>204</v>
      </c>
      <c r="D8" s="25" t="s">
        <v>205</v>
      </c>
      <c r="E8" s="360" t="s">
        <v>202</v>
      </c>
      <c r="F8" s="360"/>
      <c r="H8" s="24" t="s">
        <v>87</v>
      </c>
      <c r="I8" s="25"/>
      <c r="J8" s="26" t="s">
        <v>206</v>
      </c>
      <c r="K8" s="25" t="s">
        <v>207</v>
      </c>
      <c r="L8" s="360" t="s">
        <v>203</v>
      </c>
      <c r="M8" s="360"/>
      <c r="O8" s="288" t="s">
        <v>201</v>
      </c>
      <c r="P8" s="293">
        <v>0.12</v>
      </c>
    </row>
    <row r="9" spans="1:16" x14ac:dyDescent="0.25">
      <c r="A9" s="19">
        <v>0</v>
      </c>
      <c r="B9" s="9" t="s">
        <v>98</v>
      </c>
      <c r="C9" s="20"/>
      <c r="D9" s="22">
        <f>'Balance Sheet'!K20</f>
        <v>2851</v>
      </c>
      <c r="E9" s="18" t="s">
        <v>88</v>
      </c>
      <c r="F9" s="237">
        <v>0.02</v>
      </c>
      <c r="H9" s="19">
        <v>0</v>
      </c>
      <c r="I9" s="9"/>
      <c r="J9" s="20"/>
      <c r="K9" s="22"/>
      <c r="L9" s="18" t="s">
        <v>88</v>
      </c>
      <c r="M9" s="237">
        <v>0.1</v>
      </c>
      <c r="O9" s="289" t="s">
        <v>266</v>
      </c>
      <c r="P9" s="294">
        <v>0.09</v>
      </c>
    </row>
    <row r="10" spans="1:16" ht="13.8" thickBot="1" x14ac:dyDescent="0.3">
      <c r="A10" s="19">
        <v>1</v>
      </c>
      <c r="B10" s="9" t="s">
        <v>90</v>
      </c>
      <c r="C10" s="21">
        <f>'Cash Flow'!$L$13*(1+$F9)</f>
        <v>8785.6</v>
      </c>
      <c r="D10" s="22">
        <f>C10/((1+$F12)^A10)</f>
        <v>7442.9833472383289</v>
      </c>
      <c r="E10" s="18" t="s">
        <v>89</v>
      </c>
      <c r="F10" s="237">
        <v>0.02</v>
      </c>
      <c r="H10" s="19">
        <v>1</v>
      </c>
      <c r="I10" s="9" t="s">
        <v>90</v>
      </c>
      <c r="J10" s="21">
        <f>'Cash Flow'!$L$19*(1+$M9)</f>
        <v>3850.0000000000005</v>
      </c>
      <c r="K10" s="22">
        <f>J10/((1+$M12)^H10)</f>
        <v>3437.5</v>
      </c>
      <c r="L10" s="18" t="s">
        <v>89</v>
      </c>
      <c r="M10" s="237">
        <v>0.06</v>
      </c>
      <c r="O10" s="290" t="s">
        <v>200</v>
      </c>
      <c r="P10" s="295">
        <f>(P8-$P$6*P9*(1-$P$4))/$P$7</f>
        <v>0.18038689462604274</v>
      </c>
    </row>
    <row r="11" spans="1:16" x14ac:dyDescent="0.25">
      <c r="A11" s="19">
        <v>2</v>
      </c>
      <c r="B11" s="9" t="s">
        <v>91</v>
      </c>
      <c r="C11" s="21">
        <f>C10*(1+$F9)</f>
        <v>8961.3119999999999</v>
      </c>
      <c r="D11" s="22">
        <f>C11/((1+$F12)^A11)</f>
        <v>6431.6564753019047</v>
      </c>
      <c r="E11" s="18" t="s">
        <v>185</v>
      </c>
      <c r="F11" s="237">
        <v>0.01</v>
      </c>
      <c r="H11" s="19">
        <v>2</v>
      </c>
      <c r="I11" s="9" t="s">
        <v>91</v>
      </c>
      <c r="J11" s="21">
        <f>J10*(1+$M9)</f>
        <v>4235.0000000000009</v>
      </c>
      <c r="K11" s="22">
        <f>J11/((1+$M12)^H11)</f>
        <v>3376.1160714285716</v>
      </c>
      <c r="L11" s="18" t="s">
        <v>185</v>
      </c>
      <c r="M11" s="237">
        <v>0.02</v>
      </c>
    </row>
    <row r="12" spans="1:16" x14ac:dyDescent="0.25">
      <c r="A12" s="19">
        <v>3</v>
      </c>
      <c r="B12" s="9" t="s">
        <v>92</v>
      </c>
      <c r="C12" s="21">
        <f>C11*(1+$F9)</f>
        <v>9140.5382399999999</v>
      </c>
      <c r="D12" s="22">
        <f>C12/((1+$F12)^A12)</f>
        <v>5557.7452059786738</v>
      </c>
      <c r="E12" s="18" t="s">
        <v>200</v>
      </c>
      <c r="F12" s="237">
        <f>P10</f>
        <v>0.18038689462604274</v>
      </c>
      <c r="H12" s="19">
        <v>3</v>
      </c>
      <c r="I12" s="9" t="s">
        <v>92</v>
      </c>
      <c r="J12" s="21">
        <f>J11*(1+$M9)</f>
        <v>4658.5000000000018</v>
      </c>
      <c r="K12" s="22">
        <f>J12/((1+$M12)^H12)</f>
        <v>3315.8282844387759</v>
      </c>
      <c r="L12" s="18" t="s">
        <v>201</v>
      </c>
      <c r="M12" s="237">
        <f>P8</f>
        <v>0.12</v>
      </c>
      <c r="O12" s="2" t="s">
        <v>267</v>
      </c>
    </row>
    <row r="13" spans="1:16" x14ac:dyDescent="0.25">
      <c r="A13" s="19">
        <v>4</v>
      </c>
      <c r="B13" s="9" t="s">
        <v>93</v>
      </c>
      <c r="C13" s="21">
        <f>C12*(1+$F10)</f>
        <v>9323.3490048000003</v>
      </c>
      <c r="D13" s="22">
        <f>C13/((1+$F12)^A13)</f>
        <v>4802.577981767754</v>
      </c>
      <c r="H13" s="19">
        <v>4</v>
      </c>
      <c r="I13" s="9" t="s">
        <v>93</v>
      </c>
      <c r="J13" s="21">
        <f>J12*(1+$M10)</f>
        <v>4938.010000000002</v>
      </c>
      <c r="K13" s="22">
        <f>J13/((1+$M12)^H13)</f>
        <v>3138.1946263438417</v>
      </c>
      <c r="O13" s="2" t="s">
        <v>268</v>
      </c>
    </row>
    <row r="14" spans="1:16" x14ac:dyDescent="0.25">
      <c r="A14" s="19">
        <v>5</v>
      </c>
      <c r="B14" s="9" t="s">
        <v>94</v>
      </c>
      <c r="C14" s="21">
        <f>C13*(1+$F10)</f>
        <v>9509.8159848960004</v>
      </c>
      <c r="D14" s="22">
        <f>C14/((1+$F$12)^A14)</f>
        <v>4150.0202719168947</v>
      </c>
      <c r="E14" s="374" t="s">
        <v>146</v>
      </c>
      <c r="F14" s="374"/>
      <c r="G14" s="7"/>
      <c r="H14" s="19">
        <v>5</v>
      </c>
      <c r="I14" s="9" t="s">
        <v>94</v>
      </c>
      <c r="J14" s="21">
        <f>J13*(1+$M10)</f>
        <v>5234.2906000000021</v>
      </c>
      <c r="K14" s="22">
        <f>J14/((1+$M12)^H14)</f>
        <v>2970.0770570754212</v>
      </c>
      <c r="O14" s="2" t="s">
        <v>270</v>
      </c>
    </row>
    <row r="15" spans="1:16" x14ac:dyDescent="0.25">
      <c r="A15" s="19">
        <v>6</v>
      </c>
      <c r="B15" s="9" t="s">
        <v>95</v>
      </c>
      <c r="C15" s="21">
        <f>C14*(1+$F10)</f>
        <v>9700.0123045939199</v>
      </c>
      <c r="D15" s="22">
        <f>C15/((1+$F12)^A15)</f>
        <v>3586.1298499898135</v>
      </c>
      <c r="E15" s="60" t="s">
        <v>4</v>
      </c>
      <c r="F15" s="66">
        <f>('Profit &amp; Loss'!K4/'Profit &amp; Loss'!F4)^(1/5)-1</f>
        <v>0.15182992463010403</v>
      </c>
      <c r="H15" s="19">
        <v>6</v>
      </c>
      <c r="I15" s="9" t="s">
        <v>95</v>
      </c>
      <c r="J15" s="21">
        <f>J14*(1+$M10)</f>
        <v>5548.3480360000021</v>
      </c>
      <c r="K15" s="22">
        <f>J15/((1+$M12)^H15)</f>
        <v>2810.9657861606661</v>
      </c>
    </row>
    <row r="16" spans="1:16" x14ac:dyDescent="0.25">
      <c r="A16" s="19">
        <v>6</v>
      </c>
      <c r="B16" s="9" t="s">
        <v>208</v>
      </c>
      <c r="C16" s="27">
        <f>C15*(1+$F11)/($F12-$F11)</f>
        <v>57498.626576544448</v>
      </c>
      <c r="D16" s="22">
        <f>C16/((1+$F12)^A16)</f>
        <v>21257.451498479917</v>
      </c>
      <c r="E16" s="60" t="s">
        <v>99</v>
      </c>
      <c r="F16" s="66">
        <f>('Profit &amp; Loss'!K20/'Profit &amp; Loss'!F20)^(1/5)-1</f>
        <v>7.8043501234593693E-2</v>
      </c>
      <c r="H16" s="19">
        <v>6</v>
      </c>
      <c r="I16" s="9" t="s">
        <v>208</v>
      </c>
      <c r="J16" s="21">
        <f>J15*(1+$M11)/(M12-M11)</f>
        <v>56593.149967200028</v>
      </c>
      <c r="K16" s="22">
        <f>J16/((1+$M12)^H16)</f>
        <v>28671.851018838799</v>
      </c>
    </row>
    <row r="17" spans="1:15" x14ac:dyDescent="0.25">
      <c r="A17" s="362" t="s">
        <v>100</v>
      </c>
      <c r="B17" s="363"/>
      <c r="C17" s="364"/>
      <c r="D17" s="28">
        <f>SUM(D9:D16)</f>
        <v>56079.564630673289</v>
      </c>
      <c r="H17" s="358" t="s">
        <v>209</v>
      </c>
      <c r="I17" s="358"/>
      <c r="J17" s="358"/>
      <c r="K17" s="28">
        <f>SUM(K9:K16)</f>
        <v>47720.532844286077</v>
      </c>
    </row>
    <row r="18" spans="1:15" x14ac:dyDescent="0.25">
      <c r="A18" s="362" t="s">
        <v>96</v>
      </c>
      <c r="B18" s="363"/>
      <c r="C18" s="364"/>
      <c r="D18" s="29">
        <f>'Data Sheet'!B9</f>
        <v>32093.73</v>
      </c>
      <c r="H18" s="361" t="s">
        <v>189</v>
      </c>
      <c r="I18" s="361"/>
      <c r="J18" s="361"/>
      <c r="K18" s="9">
        <f>'Balance Sheet'!M23</f>
        <v>20000</v>
      </c>
    </row>
    <row r="19" spans="1:15" x14ac:dyDescent="0.25">
      <c r="A19" s="362" t="s">
        <v>97</v>
      </c>
      <c r="B19" s="363"/>
      <c r="C19" s="364"/>
      <c r="D19" s="23">
        <f>D18/D17-1</f>
        <v>-0.42771078535716722</v>
      </c>
      <c r="H19" s="361" t="s">
        <v>210</v>
      </c>
      <c r="I19" s="361"/>
      <c r="J19" s="361"/>
      <c r="K19" s="238">
        <f>K17-K18</f>
        <v>27720.532844286077</v>
      </c>
    </row>
    <row r="20" spans="1:15" x14ac:dyDescent="0.25">
      <c r="A20" s="359" t="s">
        <v>211</v>
      </c>
      <c r="B20" s="359"/>
      <c r="C20" s="359"/>
      <c r="D20" s="239">
        <f>D17/Summary!$B$6</f>
        <v>733.982030855071</v>
      </c>
      <c r="H20" s="358" t="s">
        <v>96</v>
      </c>
      <c r="I20" s="358"/>
      <c r="J20" s="358"/>
      <c r="K20" s="29">
        <f>D18</f>
        <v>32093.73</v>
      </c>
    </row>
    <row r="21" spans="1:15" x14ac:dyDescent="0.25">
      <c r="H21" s="358" t="s">
        <v>97</v>
      </c>
      <c r="I21" s="358"/>
      <c r="J21" s="358"/>
      <c r="K21" s="23">
        <f>K20/K17-1</f>
        <v>-0.3274649697495402</v>
      </c>
    </row>
    <row r="22" spans="1:15" x14ac:dyDescent="0.25">
      <c r="H22" s="359" t="s">
        <v>211</v>
      </c>
      <c r="I22" s="359"/>
      <c r="J22" s="359"/>
      <c r="K22" s="239">
        <f>K19/Summary!B6</f>
        <v>362.81260611472607</v>
      </c>
    </row>
    <row r="23" spans="1:15" x14ac:dyDescent="0.25">
      <c r="A23" s="248"/>
      <c r="B23" s="248"/>
      <c r="C23" s="248"/>
      <c r="D23" s="248"/>
      <c r="E23" s="248"/>
      <c r="F23" s="248"/>
      <c r="G23" s="248"/>
      <c r="H23" s="248"/>
      <c r="I23" s="248"/>
      <c r="J23" s="248"/>
      <c r="K23" s="248"/>
      <c r="L23" s="248"/>
      <c r="M23" s="248"/>
      <c r="N23" s="248"/>
      <c r="O23" s="248"/>
    </row>
    <row r="26" spans="1:15" x14ac:dyDescent="0.25">
      <c r="C26" s="249" t="s">
        <v>216</v>
      </c>
      <c r="J26" s="249" t="s">
        <v>216</v>
      </c>
    </row>
    <row r="28" spans="1:15" x14ac:dyDescent="0.25">
      <c r="A28" s="368" t="str">
        <f>'Data Sheet'!B1</f>
        <v>UPL LTD</v>
      </c>
      <c r="B28" s="369"/>
      <c r="C28" s="369"/>
      <c r="D28" s="370"/>
      <c r="H28" s="373" t="str">
        <f>A28</f>
        <v>UPL LTD</v>
      </c>
      <c r="I28" s="373"/>
      <c r="J28" s="373"/>
      <c r="K28" s="373"/>
    </row>
    <row r="29" spans="1:15" x14ac:dyDescent="0.25">
      <c r="A29" s="24" t="s">
        <v>87</v>
      </c>
      <c r="B29" s="25"/>
      <c r="C29" s="26" t="s">
        <v>204</v>
      </c>
      <c r="D29" s="25" t="s">
        <v>205</v>
      </c>
      <c r="E29" s="371" t="s">
        <v>202</v>
      </c>
      <c r="F29" s="372"/>
      <c r="H29" s="24" t="s">
        <v>87</v>
      </c>
      <c r="I29" s="25"/>
      <c r="J29" s="26" t="s">
        <v>206</v>
      </c>
      <c r="K29" s="25" t="s">
        <v>207</v>
      </c>
      <c r="L29" s="360" t="s">
        <v>203</v>
      </c>
      <c r="M29" s="360"/>
    </row>
    <row r="30" spans="1:15" x14ac:dyDescent="0.25">
      <c r="A30" s="19">
        <v>0</v>
      </c>
      <c r="B30" s="9" t="s">
        <v>98</v>
      </c>
      <c r="C30" s="20"/>
      <c r="D30" s="22">
        <f>'Balance Sheet'!K20</f>
        <v>2851</v>
      </c>
      <c r="E30" s="18" t="s">
        <v>88</v>
      </c>
      <c r="F30" s="237">
        <v>0.03</v>
      </c>
      <c r="H30" s="19">
        <v>0</v>
      </c>
      <c r="I30" s="9" t="s">
        <v>98</v>
      </c>
      <c r="J30" s="20"/>
      <c r="K30" s="22"/>
      <c r="L30" s="18" t="s">
        <v>88</v>
      </c>
      <c r="M30" s="237">
        <v>0.12</v>
      </c>
    </row>
    <row r="31" spans="1:15" x14ac:dyDescent="0.25">
      <c r="A31" s="19">
        <v>1</v>
      </c>
      <c r="B31" s="9" t="s">
        <v>90</v>
      </c>
      <c r="C31" s="21">
        <f>'Cash Flow'!$L$13*(1+$F30)</f>
        <v>8871.7333333333336</v>
      </c>
      <c r="D31" s="22">
        <f>C31/((1+$F33)^A31)</f>
        <v>7515.9537722112536</v>
      </c>
      <c r="E31" s="18" t="s">
        <v>89</v>
      </c>
      <c r="F31" s="237">
        <v>0.02</v>
      </c>
      <c r="H31" s="19">
        <v>1</v>
      </c>
      <c r="I31" s="9" t="s">
        <v>90</v>
      </c>
      <c r="J31" s="21">
        <f>'Cash Flow'!$L$19*(1+$M30)</f>
        <v>3920.0000000000005</v>
      </c>
      <c r="K31" s="22">
        <f>J31/((1+$M33)^H31)</f>
        <v>3500</v>
      </c>
      <c r="L31" s="18" t="s">
        <v>89</v>
      </c>
      <c r="M31" s="237">
        <v>0.08</v>
      </c>
    </row>
    <row r="32" spans="1:15" x14ac:dyDescent="0.25">
      <c r="A32" s="19">
        <v>2</v>
      </c>
      <c r="B32" s="9" t="s">
        <v>91</v>
      </c>
      <c r="C32" s="21">
        <f>C31*(1+$F30)</f>
        <v>9137.8853333333336</v>
      </c>
      <c r="D32" s="22">
        <f>C32/((1+$F33)^A32)</f>
        <v>6558.3855773239047</v>
      </c>
      <c r="E32" s="18" t="s">
        <v>185</v>
      </c>
      <c r="F32" s="237">
        <v>0.02</v>
      </c>
      <c r="H32" s="19">
        <v>2</v>
      </c>
      <c r="I32" s="9" t="s">
        <v>91</v>
      </c>
      <c r="J32" s="21">
        <f>J31*(1+$M30)</f>
        <v>4390.4000000000005</v>
      </c>
      <c r="K32" s="22">
        <f>J32/((1+$M33)^H32)</f>
        <v>3500</v>
      </c>
      <c r="L32" s="18" t="s">
        <v>185</v>
      </c>
      <c r="M32" s="237">
        <v>0.02</v>
      </c>
    </row>
    <row r="33" spans="1:13" x14ac:dyDescent="0.25">
      <c r="A33" s="19">
        <v>3</v>
      </c>
      <c r="B33" s="9" t="s">
        <v>92</v>
      </c>
      <c r="C33" s="21">
        <f>C32*(1+$F30)</f>
        <v>9412.0218933333344</v>
      </c>
      <c r="D33" s="22">
        <f>C33/((1+$F33)^A33)</f>
        <v>5722.8161168154211</v>
      </c>
      <c r="E33" s="18" t="s">
        <v>200</v>
      </c>
      <c r="F33" s="237">
        <f>F12</f>
        <v>0.18038689462604274</v>
      </c>
      <c r="H33" s="19">
        <v>3</v>
      </c>
      <c r="I33" s="9" t="s">
        <v>92</v>
      </c>
      <c r="J33" s="21">
        <f>J32*(1+$M30)</f>
        <v>4917.2480000000014</v>
      </c>
      <c r="K33" s="22">
        <f>J33/((1+$M33)^H33)</f>
        <v>3500</v>
      </c>
      <c r="L33" s="18" t="s">
        <v>201</v>
      </c>
      <c r="M33" s="237">
        <f>M12</f>
        <v>0.12</v>
      </c>
    </row>
    <row r="34" spans="1:13" x14ac:dyDescent="0.25">
      <c r="A34" s="19">
        <v>4</v>
      </c>
      <c r="B34" s="9" t="s">
        <v>93</v>
      </c>
      <c r="C34" s="21">
        <f>C33*(1+$F31)</f>
        <v>9600.2623312000014</v>
      </c>
      <c r="D34" s="22">
        <f>C34/((1+$F33)^A34)</f>
        <v>4945.2196273333157</v>
      </c>
      <c r="H34" s="19">
        <v>4</v>
      </c>
      <c r="I34" s="9" t="s">
        <v>93</v>
      </c>
      <c r="J34" s="21">
        <f>J33*(1+$M31)</f>
        <v>5310.6278400000019</v>
      </c>
      <c r="K34" s="22">
        <f>J34/((1+$M33)^H34)</f>
        <v>3375.0000000000005</v>
      </c>
    </row>
    <row r="35" spans="1:13" x14ac:dyDescent="0.25">
      <c r="A35" s="19">
        <v>5</v>
      </c>
      <c r="B35" s="9" t="s">
        <v>94</v>
      </c>
      <c r="C35" s="21">
        <f>C34*(1+$F31)</f>
        <v>9792.2675778240009</v>
      </c>
      <c r="D35" s="22">
        <f>C35/((1+$F$33)^A35)</f>
        <v>4273.2802633140091</v>
      </c>
      <c r="H35" s="19">
        <v>5</v>
      </c>
      <c r="I35" s="9" t="s">
        <v>94</v>
      </c>
      <c r="J35" s="21">
        <f>J34*(1+$M31)</f>
        <v>5735.4780672000024</v>
      </c>
      <c r="K35" s="22">
        <f>J35/((1+$M33)^H35)</f>
        <v>3254.4642857142862</v>
      </c>
    </row>
    <row r="36" spans="1:13" x14ac:dyDescent="0.25">
      <c r="A36" s="19">
        <v>6</v>
      </c>
      <c r="B36" s="9" t="s">
        <v>95</v>
      </c>
      <c r="C36" s="21">
        <f>C35*(1+$F31)</f>
        <v>9988.1129293804806</v>
      </c>
      <c r="D36" s="22">
        <f>C36/((1+$F33)^A36)</f>
        <v>3692.6416994498904</v>
      </c>
      <c r="H36" s="19">
        <v>6</v>
      </c>
      <c r="I36" s="9" t="s">
        <v>95</v>
      </c>
      <c r="J36" s="21">
        <f>J35*(1+$M31)</f>
        <v>6194.3163125760029</v>
      </c>
      <c r="K36" s="22">
        <f>J36/((1+$M33)^H36)</f>
        <v>3138.233418367347</v>
      </c>
    </row>
    <row r="37" spans="1:13" x14ac:dyDescent="0.25">
      <c r="A37" s="19">
        <v>6</v>
      </c>
      <c r="B37" s="9" t="s">
        <v>208</v>
      </c>
      <c r="C37" s="27">
        <f>C36*(1+$F32)/($F33-$F32)</f>
        <v>63520.621256007784</v>
      </c>
      <c r="D37" s="22">
        <f>C37/((1+$F33)^A37)</f>
        <v>23483.804847153053</v>
      </c>
      <c r="H37" s="19">
        <v>6</v>
      </c>
      <c r="I37" s="9" t="s">
        <v>208</v>
      </c>
      <c r="J37" s="21">
        <f>J36*(1+$M32)/(M33-M32)</f>
        <v>63182.026388275241</v>
      </c>
      <c r="K37" s="22">
        <f>J37/((1+$M33)^H37)</f>
        <v>32009.980867346945</v>
      </c>
    </row>
    <row r="38" spans="1:13" x14ac:dyDescent="0.25">
      <c r="A38" s="362" t="s">
        <v>100</v>
      </c>
      <c r="B38" s="363"/>
      <c r="C38" s="364"/>
      <c r="D38" s="28">
        <f>SUM(D30:D37)</f>
        <v>59043.101903600851</v>
      </c>
      <c r="H38" s="358" t="s">
        <v>209</v>
      </c>
      <c r="I38" s="358"/>
      <c r="J38" s="358"/>
      <c r="K38" s="28">
        <f>SUM(K30:K37)</f>
        <v>52277.67857142858</v>
      </c>
    </row>
    <row r="39" spans="1:13" x14ac:dyDescent="0.25">
      <c r="A39" s="362" t="s">
        <v>96</v>
      </c>
      <c r="B39" s="363"/>
      <c r="C39" s="364"/>
      <c r="D39" s="29">
        <f>'Data Sheet'!B9</f>
        <v>32093.73</v>
      </c>
      <c r="H39" s="361" t="s">
        <v>189</v>
      </c>
      <c r="I39" s="361"/>
      <c r="J39" s="361"/>
      <c r="K39" s="9">
        <f>K18</f>
        <v>20000</v>
      </c>
    </row>
    <row r="40" spans="1:13" x14ac:dyDescent="0.25">
      <c r="A40" s="362" t="s">
        <v>97</v>
      </c>
      <c r="B40" s="363"/>
      <c r="C40" s="364"/>
      <c r="D40" s="23">
        <f>D39/D38-1</f>
        <v>-0.45643557053626438</v>
      </c>
      <c r="H40" s="361" t="s">
        <v>210</v>
      </c>
      <c r="I40" s="361"/>
      <c r="J40" s="361"/>
      <c r="K40" s="238">
        <f>K38-K39</f>
        <v>32277.67857142858</v>
      </c>
    </row>
    <row r="41" spans="1:13" x14ac:dyDescent="0.25">
      <c r="A41" s="365" t="s">
        <v>211</v>
      </c>
      <c r="B41" s="366"/>
      <c r="C41" s="367"/>
      <c r="D41" s="239">
        <f>D38/Summary!$B$6</f>
        <v>772.76947723457317</v>
      </c>
      <c r="H41" s="358" t="s">
        <v>96</v>
      </c>
      <c r="I41" s="358"/>
      <c r="J41" s="358"/>
      <c r="K41" s="29">
        <f>D39</f>
        <v>32093.73</v>
      </c>
    </row>
    <row r="42" spans="1:13" x14ac:dyDescent="0.25">
      <c r="H42" s="358" t="s">
        <v>97</v>
      </c>
      <c r="I42" s="358"/>
      <c r="J42" s="358"/>
      <c r="K42" s="23">
        <f>K41/K38-1</f>
        <v>-0.38609114105651499</v>
      </c>
    </row>
    <row r="43" spans="1:13" x14ac:dyDescent="0.25">
      <c r="H43" s="359" t="s">
        <v>211</v>
      </c>
      <c r="I43" s="359"/>
      <c r="J43" s="359"/>
      <c r="K43" s="239">
        <f>K40/Summary!B6</f>
        <v>422.45756052439452</v>
      </c>
    </row>
  </sheetData>
  <mergeCells count="30">
    <mergeCell ref="A1:M1"/>
    <mergeCell ref="L8:M8"/>
    <mergeCell ref="A7:D7"/>
    <mergeCell ref="H7:K7"/>
    <mergeCell ref="E8:F8"/>
    <mergeCell ref="E14:F14"/>
    <mergeCell ref="A17:C17"/>
    <mergeCell ref="A18:C18"/>
    <mergeCell ref="A19:C19"/>
    <mergeCell ref="H17:J17"/>
    <mergeCell ref="H18:J18"/>
    <mergeCell ref="A38:C38"/>
    <mergeCell ref="A39:C39"/>
    <mergeCell ref="A40:C40"/>
    <mergeCell ref="A41:C41"/>
    <mergeCell ref="H19:J19"/>
    <mergeCell ref="H41:J41"/>
    <mergeCell ref="H22:J22"/>
    <mergeCell ref="A20:C20"/>
    <mergeCell ref="A28:D28"/>
    <mergeCell ref="E29:F29"/>
    <mergeCell ref="H28:K28"/>
    <mergeCell ref="H20:J20"/>
    <mergeCell ref="H21:J21"/>
    <mergeCell ref="H42:J42"/>
    <mergeCell ref="H43:J43"/>
    <mergeCell ref="L29:M29"/>
    <mergeCell ref="H38:J38"/>
    <mergeCell ref="H39:J39"/>
    <mergeCell ref="H40:J40"/>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50A-9683-4BE8-9E21-BF16FCEC8D13}">
  <dimension ref="A1:P31"/>
  <sheetViews>
    <sheetView workbookViewId="0">
      <selection activeCell="F30" sqref="F30"/>
    </sheetView>
  </sheetViews>
  <sheetFormatPr defaultColWidth="9.21875" defaultRowHeight="13.8" x14ac:dyDescent="0.3"/>
  <cols>
    <col min="1" max="1" width="40.44140625" style="46" bestFit="1" customWidth="1"/>
    <col min="2" max="2" width="10.44140625" style="46" bestFit="1" customWidth="1"/>
    <col min="3" max="5" width="6.77734375" style="46" bestFit="1" customWidth="1"/>
    <col min="6" max="11" width="7.6640625" style="46" bestFit="1" customWidth="1"/>
    <col min="12" max="13" width="11.33203125" style="46" bestFit="1" customWidth="1"/>
    <col min="14" max="14" width="11.77734375" style="46" bestFit="1" customWidth="1"/>
    <col min="15" max="16384" width="9.21875" style="46"/>
  </cols>
  <sheetData>
    <row r="1" spans="1:16" ht="19.2" x14ac:dyDescent="0.35">
      <c r="A1" s="376" t="s">
        <v>109</v>
      </c>
      <c r="B1" s="377"/>
      <c r="C1" s="377"/>
      <c r="D1" s="377"/>
      <c r="E1" s="377"/>
      <c r="F1" s="377"/>
      <c r="G1" s="377"/>
      <c r="H1" s="377"/>
      <c r="I1" s="377"/>
      <c r="J1" s="377"/>
      <c r="K1" s="377"/>
      <c r="L1" s="377"/>
      <c r="M1" s="377"/>
      <c r="N1" s="377"/>
    </row>
    <row r="2" spans="1:16" x14ac:dyDescent="0.3">
      <c r="A2" s="378" t="str">
        <f>'Data Sheet'!B1</f>
        <v>UPL LTD</v>
      </c>
      <c r="B2" s="379"/>
      <c r="C2" s="379"/>
      <c r="D2" s="379"/>
      <c r="E2" s="379"/>
      <c r="F2" s="379"/>
      <c r="G2" s="379"/>
      <c r="H2" s="379"/>
      <c r="I2" s="379"/>
      <c r="J2" s="379"/>
      <c r="K2" s="379"/>
      <c r="L2" s="379"/>
      <c r="M2" s="379"/>
      <c r="N2" s="379"/>
    </row>
    <row r="3" spans="1:16" x14ac:dyDescent="0.3">
      <c r="A3" s="31" t="s">
        <v>101</v>
      </c>
      <c r="B3" s="32">
        <f>'Data Sheet'!B16</f>
        <v>40268</v>
      </c>
      <c r="C3" s="32">
        <f>'Data Sheet'!C16</f>
        <v>40633</v>
      </c>
      <c r="D3" s="32">
        <f>'Data Sheet'!D16</f>
        <v>40999</v>
      </c>
      <c r="E3" s="32">
        <f>'Data Sheet'!E16</f>
        <v>41364</v>
      </c>
      <c r="F3" s="32">
        <f>'Data Sheet'!F16</f>
        <v>41729</v>
      </c>
      <c r="G3" s="32">
        <f>'Data Sheet'!G16</f>
        <v>42094</v>
      </c>
      <c r="H3" s="32">
        <f>'Data Sheet'!H16</f>
        <v>42460</v>
      </c>
      <c r="I3" s="32">
        <f>'Data Sheet'!I16</f>
        <v>42825</v>
      </c>
      <c r="J3" s="32">
        <f>'Data Sheet'!J16</f>
        <v>43190</v>
      </c>
      <c r="K3" s="32">
        <f>'Data Sheet'!K16</f>
        <v>43555</v>
      </c>
      <c r="L3" s="47" t="s">
        <v>104</v>
      </c>
      <c r="M3" s="48" t="s">
        <v>102</v>
      </c>
      <c r="N3" s="48" t="s">
        <v>227</v>
      </c>
      <c r="P3" s="46" t="s">
        <v>278</v>
      </c>
    </row>
    <row r="4" spans="1:16" x14ac:dyDescent="0.3">
      <c r="A4" s="33" t="s">
        <v>105</v>
      </c>
      <c r="B4" s="49">
        <f>'Data Sheet'!B30</f>
        <v>526.16</v>
      </c>
      <c r="C4" s="49">
        <f>'Data Sheet'!C30</f>
        <v>557.62</v>
      </c>
      <c r="D4" s="49">
        <f>'Data Sheet'!D30</f>
        <v>555.54999999999995</v>
      </c>
      <c r="E4" s="49">
        <f>'Data Sheet'!E30</f>
        <v>774.6</v>
      </c>
      <c r="F4" s="49">
        <f>'Data Sheet'!F30</f>
        <v>949.79</v>
      </c>
      <c r="G4" s="49">
        <f>'Data Sheet'!G30</f>
        <v>1144.03</v>
      </c>
      <c r="H4" s="49">
        <f>'Data Sheet'!H30</f>
        <v>940</v>
      </c>
      <c r="I4" s="49">
        <f>'Data Sheet'!I30</f>
        <v>1727</v>
      </c>
      <c r="J4" s="49">
        <f>'Data Sheet'!J30</f>
        <v>2022</v>
      </c>
      <c r="K4" s="49">
        <f>'Data Sheet'!K30</f>
        <v>1447</v>
      </c>
      <c r="L4" s="51">
        <f>(K4/B4)^(1/9)-1</f>
        <v>0.11896562406103595</v>
      </c>
      <c r="M4" s="52">
        <f>(K4/F4)^(1/5)-1</f>
        <v>8.7847924970277491E-2</v>
      </c>
      <c r="N4" s="52">
        <f>(K4/H4)^(1/3)-1</f>
        <v>0.15464078135897785</v>
      </c>
      <c r="P4" s="305">
        <v>2200</v>
      </c>
    </row>
    <row r="5" spans="1:16" x14ac:dyDescent="0.3">
      <c r="A5" s="34" t="s">
        <v>74</v>
      </c>
      <c r="B5" s="35">
        <f>B4/'Data Sheet'!B17</f>
        <v>9.9462385917686816E-2</v>
      </c>
      <c r="C5" s="35">
        <f>C4/'Data Sheet'!C17</f>
        <v>9.6797600283299881E-2</v>
      </c>
      <c r="D5" s="35">
        <f>D4/'Data Sheet'!D17</f>
        <v>7.2419088240354978E-2</v>
      </c>
      <c r="E5" s="35">
        <f>E4/'Data Sheet'!E17</f>
        <v>8.4326725235964586E-2</v>
      </c>
      <c r="F5" s="35">
        <f>F4/'Data Sheet'!F17</f>
        <v>8.8181281380908527E-2</v>
      </c>
      <c r="G5" s="35">
        <f>G4/'Data Sheet'!G17</f>
        <v>9.462206753721096E-2</v>
      </c>
      <c r="H5" s="35">
        <f>H4/'Data Sheet'!H17</f>
        <v>6.691343963553531E-2</v>
      </c>
      <c r="I5" s="35">
        <f>I4/'Data Sheet'!I17</f>
        <v>0.10587297694948504</v>
      </c>
      <c r="J5" s="35">
        <f>J4/'Data Sheet'!J17</f>
        <v>0.11635401081827598</v>
      </c>
      <c r="K5" s="35">
        <f>K4/'Data Sheet'!K17</f>
        <v>6.6263680908549713E-2</v>
      </c>
      <c r="L5" s="53"/>
      <c r="M5" s="54"/>
      <c r="N5" s="54"/>
    </row>
    <row r="6" spans="1:16" ht="14.4" thickBot="1" x14ac:dyDescent="0.35">
      <c r="A6" s="36" t="s">
        <v>44</v>
      </c>
      <c r="B6" s="37">
        <f>'Balance Sheet'!B30</f>
        <v>0.17158175151496913</v>
      </c>
      <c r="C6" s="37">
        <f>'Balance Sheet'!C30</f>
        <v>0.15870962547469841</v>
      </c>
      <c r="D6" s="37">
        <f>'Balance Sheet'!D30</f>
        <v>0.14394300653469502</v>
      </c>
      <c r="E6" s="37">
        <f>'Balance Sheet'!E30</f>
        <v>0.15945638742621474</v>
      </c>
      <c r="F6" s="37">
        <f>'Balance Sheet'!F30</f>
        <v>0.17815421673889245</v>
      </c>
      <c r="G6" s="37">
        <f>'Balance Sheet'!G30</f>
        <v>0.19902633469446304</v>
      </c>
      <c r="H6" s="37">
        <f>'Balance Sheet'!H30</f>
        <v>0.45506692160611856</v>
      </c>
      <c r="I6" s="37">
        <f>'Balance Sheet'!I30</f>
        <v>0.23691045796308954</v>
      </c>
      <c r="J6" s="37">
        <f>'Balance Sheet'!J30</f>
        <v>0.22139818955175047</v>
      </c>
      <c r="K6" s="37">
        <f>'Balance Sheet'!K30</f>
        <v>0.10372140662342097</v>
      </c>
      <c r="L6" s="55"/>
      <c r="M6" s="56"/>
      <c r="N6" s="56"/>
    </row>
    <row r="7" spans="1:16" x14ac:dyDescent="0.3">
      <c r="A7" s="38"/>
      <c r="B7" s="39"/>
      <c r="C7" s="39"/>
      <c r="D7" s="39"/>
      <c r="E7" s="39"/>
      <c r="F7" s="39"/>
      <c r="G7" s="39"/>
      <c r="H7" s="39"/>
      <c r="I7" s="39"/>
      <c r="J7" s="39"/>
      <c r="K7" s="39"/>
      <c r="L7" s="39"/>
      <c r="M7" s="39"/>
    </row>
    <row r="8" spans="1:16" ht="14.4" thickBot="1" x14ac:dyDescent="0.35">
      <c r="A8" s="10" t="s">
        <v>108</v>
      </c>
      <c r="B8" s="40"/>
      <c r="C8" s="40"/>
      <c r="D8" s="40"/>
      <c r="E8" s="40"/>
      <c r="F8" s="40"/>
      <c r="G8" s="40"/>
      <c r="H8" s="40"/>
      <c r="I8" s="40"/>
      <c r="J8" s="40"/>
      <c r="K8" s="40"/>
      <c r="L8" s="41"/>
      <c r="M8" s="41"/>
    </row>
    <row r="9" spans="1:16" x14ac:dyDescent="0.3">
      <c r="A9" s="42" t="s">
        <v>212</v>
      </c>
      <c r="B9" s="58">
        <v>0.1</v>
      </c>
      <c r="C9" s="2"/>
      <c r="D9" s="2"/>
      <c r="E9" s="2"/>
      <c r="F9" s="2"/>
      <c r="G9" s="2"/>
      <c r="H9" s="2"/>
      <c r="I9" s="2"/>
      <c r="J9" s="2"/>
      <c r="K9" s="2"/>
      <c r="L9" s="2"/>
      <c r="M9" s="2"/>
    </row>
    <row r="10" spans="1:16" x14ac:dyDescent="0.3">
      <c r="A10" s="43" t="s">
        <v>248</v>
      </c>
      <c r="B10" s="44">
        <f>P4*(1+B9)^3</f>
        <v>2928.2000000000007</v>
      </c>
      <c r="C10" s="45"/>
      <c r="D10" s="2"/>
      <c r="E10" s="2"/>
      <c r="F10" s="2"/>
      <c r="G10" s="2"/>
      <c r="H10" s="2"/>
      <c r="I10" s="2"/>
      <c r="J10" s="2"/>
      <c r="K10" s="2"/>
      <c r="L10" s="2"/>
      <c r="M10" s="2"/>
    </row>
    <row r="11" spans="1:16" x14ac:dyDescent="0.3">
      <c r="A11" s="43" t="s">
        <v>103</v>
      </c>
      <c r="B11" s="57">
        <f>'Data Sheet'!B9/'Data Sheet'!K30</f>
        <v>22.179495507947479</v>
      </c>
      <c r="C11" s="2"/>
      <c r="D11" s="2"/>
      <c r="E11" s="2"/>
      <c r="F11" s="2"/>
      <c r="G11" s="2"/>
      <c r="H11" s="2"/>
      <c r="I11" s="2"/>
      <c r="J11" s="2"/>
      <c r="K11" s="2"/>
      <c r="L11" s="2"/>
      <c r="M11" s="2"/>
    </row>
    <row r="12" spans="1:16" x14ac:dyDescent="0.3">
      <c r="C12" s="2"/>
      <c r="D12" s="2"/>
      <c r="E12" s="2"/>
      <c r="F12" s="2"/>
      <c r="G12" s="2"/>
      <c r="H12" s="2"/>
      <c r="I12" s="2"/>
      <c r="J12" s="2"/>
      <c r="K12" s="2"/>
      <c r="L12" s="2"/>
      <c r="M12" s="2"/>
    </row>
    <row r="13" spans="1:16" x14ac:dyDescent="0.3">
      <c r="A13" s="245" t="s">
        <v>217</v>
      </c>
      <c r="C13" s="2"/>
      <c r="D13" s="2"/>
      <c r="E13" s="2"/>
      <c r="F13" s="2"/>
      <c r="G13" s="2"/>
      <c r="H13" s="2"/>
      <c r="I13" s="2"/>
      <c r="J13" s="2"/>
      <c r="K13" s="2"/>
      <c r="L13" s="2"/>
      <c r="M13" s="2"/>
    </row>
    <row r="14" spans="1:16" x14ac:dyDescent="0.3">
      <c r="C14" s="2"/>
      <c r="D14" s="2"/>
      <c r="E14" s="2"/>
      <c r="F14" s="2"/>
      <c r="G14" s="2"/>
      <c r="H14" s="2"/>
      <c r="I14" s="2"/>
      <c r="J14" s="2"/>
      <c r="K14" s="2"/>
      <c r="L14" s="2"/>
      <c r="M14" s="2"/>
    </row>
    <row r="15" spans="1:16" x14ac:dyDescent="0.3">
      <c r="A15" s="43" t="s">
        <v>213</v>
      </c>
      <c r="B15" s="59">
        <v>16</v>
      </c>
      <c r="C15" s="2"/>
      <c r="D15" s="2"/>
      <c r="E15" s="2"/>
      <c r="F15" s="2"/>
      <c r="G15" s="2"/>
      <c r="H15" s="2"/>
      <c r="I15" s="2"/>
      <c r="J15" s="2"/>
      <c r="K15" s="2"/>
      <c r="L15" s="2"/>
      <c r="M15" s="2"/>
    </row>
    <row r="16" spans="1:16" x14ac:dyDescent="0.3">
      <c r="A16" s="43" t="s">
        <v>214</v>
      </c>
      <c r="B16" s="44">
        <f>B10*B15</f>
        <v>46851.200000000012</v>
      </c>
      <c r="C16" s="2"/>
      <c r="D16" s="2"/>
      <c r="E16" s="2"/>
      <c r="F16" s="2"/>
      <c r="G16" s="2"/>
      <c r="H16" s="2"/>
      <c r="I16" s="2"/>
      <c r="J16" s="2"/>
      <c r="K16" s="2"/>
      <c r="L16" s="2"/>
      <c r="M16" s="2"/>
    </row>
    <row r="17" spans="1:13" x14ac:dyDescent="0.3">
      <c r="A17" s="43" t="s">
        <v>200</v>
      </c>
      <c r="B17" s="50">
        <f>'DCF Calc'!P10</f>
        <v>0.18038689462604274</v>
      </c>
      <c r="C17" s="2"/>
      <c r="D17" s="2"/>
      <c r="E17" s="2"/>
      <c r="F17" s="2"/>
      <c r="G17" s="2"/>
      <c r="H17" s="2"/>
      <c r="I17" s="2"/>
      <c r="J17" s="2"/>
      <c r="K17" s="2"/>
      <c r="L17" s="2"/>
      <c r="M17" s="2"/>
    </row>
    <row r="18" spans="1:13" x14ac:dyDescent="0.3">
      <c r="A18" s="43" t="s">
        <v>107</v>
      </c>
      <c r="B18" s="69">
        <f>B16/(1+B17)^3</f>
        <v>28487.056818477697</v>
      </c>
      <c r="C18" s="2"/>
      <c r="D18" s="2"/>
      <c r="E18" s="2"/>
      <c r="F18" s="2"/>
      <c r="G18" s="2"/>
      <c r="H18" s="2"/>
      <c r="I18" s="2"/>
      <c r="J18" s="2"/>
      <c r="K18" s="2"/>
      <c r="L18" s="2"/>
      <c r="M18" s="2"/>
    </row>
    <row r="19" spans="1:13" x14ac:dyDescent="0.3">
      <c r="A19" s="43" t="s">
        <v>106</v>
      </c>
      <c r="B19" s="69">
        <f>'Data Sheet'!B9</f>
        <v>32093.73</v>
      </c>
    </row>
    <row r="20" spans="1:13" x14ac:dyDescent="0.3">
      <c r="A20" s="2"/>
      <c r="B20" s="2"/>
    </row>
    <row r="21" spans="1:13" x14ac:dyDescent="0.3">
      <c r="A21" s="241" t="s">
        <v>215</v>
      </c>
      <c r="B21" s="242">
        <f>B18/Summary!B6</f>
        <v>372.845045328217</v>
      </c>
    </row>
    <row r="22" spans="1:13" x14ac:dyDescent="0.3">
      <c r="A22" s="243"/>
      <c r="B22" s="244"/>
    </row>
    <row r="23" spans="1:13" x14ac:dyDescent="0.3">
      <c r="A23" s="246" t="s">
        <v>216</v>
      </c>
      <c r="B23" s="244"/>
    </row>
    <row r="25" spans="1:13" x14ac:dyDescent="0.3">
      <c r="A25" s="43" t="s">
        <v>213</v>
      </c>
      <c r="B25" s="59">
        <v>20</v>
      </c>
    </row>
    <row r="26" spans="1:13" x14ac:dyDescent="0.3">
      <c r="A26" s="43" t="s">
        <v>214</v>
      </c>
      <c r="B26" s="44">
        <f>B25*B10</f>
        <v>58564.000000000015</v>
      </c>
    </row>
    <row r="27" spans="1:13" x14ac:dyDescent="0.3">
      <c r="A27" s="43" t="s">
        <v>200</v>
      </c>
      <c r="B27" s="50">
        <f>B17</f>
        <v>0.18038689462604274</v>
      </c>
    </row>
    <row r="28" spans="1:13" x14ac:dyDescent="0.3">
      <c r="A28" s="43" t="s">
        <v>107</v>
      </c>
      <c r="B28" s="69">
        <f>B26/(1+B27)^3</f>
        <v>35608.821023097116</v>
      </c>
    </row>
    <row r="29" spans="1:13" x14ac:dyDescent="0.3">
      <c r="A29" s="43" t="s">
        <v>106</v>
      </c>
      <c r="B29" s="69">
        <f>'Data Sheet'!B9</f>
        <v>32093.73</v>
      </c>
    </row>
    <row r="30" spans="1:13" x14ac:dyDescent="0.3">
      <c r="A30" s="2"/>
      <c r="B30" s="2"/>
    </row>
    <row r="31" spans="1:13" x14ac:dyDescent="0.3">
      <c r="A31" s="241" t="s">
        <v>215</v>
      </c>
      <c r="B31" s="242">
        <f>B28/Summary!B6</f>
        <v>466.05630666027116</v>
      </c>
    </row>
  </sheetData>
  <mergeCells count="2">
    <mergeCell ref="A1:N1"/>
    <mergeCell ref="A2:N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48EE4-CA99-4851-A77A-93423929CE35}">
  <dimension ref="A1:Q33"/>
  <sheetViews>
    <sheetView workbookViewId="0">
      <selection activeCell="C26" sqref="C26"/>
    </sheetView>
  </sheetViews>
  <sheetFormatPr defaultColWidth="9.21875" defaultRowHeight="13.8" x14ac:dyDescent="0.3"/>
  <cols>
    <col min="1" max="1" width="40.44140625" style="46" bestFit="1" customWidth="1"/>
    <col min="2" max="2" width="10.44140625" style="46" bestFit="1" customWidth="1"/>
    <col min="3" max="5" width="6.77734375" style="46" bestFit="1" customWidth="1"/>
    <col min="6" max="11" width="7.6640625" style="46" bestFit="1" customWidth="1"/>
    <col min="12" max="14" width="11.77734375" style="46" bestFit="1" customWidth="1"/>
    <col min="15" max="16384" width="9.21875" style="46"/>
  </cols>
  <sheetData>
    <row r="1" spans="1:17" ht="19.2" x14ac:dyDescent="0.35">
      <c r="A1" s="376" t="s">
        <v>224</v>
      </c>
      <c r="B1" s="377"/>
      <c r="C1" s="377"/>
      <c r="D1" s="377"/>
      <c r="E1" s="377"/>
      <c r="F1" s="377"/>
      <c r="G1" s="377"/>
      <c r="H1" s="377"/>
      <c r="I1" s="377"/>
      <c r="J1" s="377"/>
      <c r="K1" s="377"/>
      <c r="L1" s="377"/>
      <c r="M1" s="377"/>
      <c r="N1" s="377"/>
    </row>
    <row r="2" spans="1:17" x14ac:dyDescent="0.3">
      <c r="A2" s="378" t="str">
        <f>'Data Sheet'!B1</f>
        <v>UPL LTD</v>
      </c>
      <c r="B2" s="379"/>
      <c r="C2" s="379"/>
      <c r="D2" s="379"/>
      <c r="E2" s="379"/>
      <c r="F2" s="379"/>
      <c r="G2" s="379"/>
      <c r="H2" s="379"/>
      <c r="I2" s="379"/>
      <c r="J2" s="379"/>
      <c r="K2" s="379"/>
      <c r="L2" s="379"/>
      <c r="M2" s="379"/>
      <c r="N2" s="379"/>
    </row>
    <row r="3" spans="1:17" x14ac:dyDescent="0.3">
      <c r="A3" s="31" t="s">
        <v>101</v>
      </c>
      <c r="B3" s="32">
        <f>'Data Sheet'!B16</f>
        <v>40268</v>
      </c>
      <c r="C3" s="32">
        <f>'Data Sheet'!C16</f>
        <v>40633</v>
      </c>
      <c r="D3" s="32">
        <f>'Data Sheet'!D16</f>
        <v>40999</v>
      </c>
      <c r="E3" s="32">
        <f>'Data Sheet'!E16</f>
        <v>41364</v>
      </c>
      <c r="F3" s="32">
        <f>'Data Sheet'!F16</f>
        <v>41729</v>
      </c>
      <c r="G3" s="32">
        <f>'Data Sheet'!G16</f>
        <v>42094</v>
      </c>
      <c r="H3" s="32">
        <f>'Data Sheet'!H16</f>
        <v>42460</v>
      </c>
      <c r="I3" s="32">
        <f>'Data Sheet'!I16</f>
        <v>42825</v>
      </c>
      <c r="J3" s="32">
        <f>'Data Sheet'!J16</f>
        <v>43190</v>
      </c>
      <c r="K3" s="32">
        <f>'Data Sheet'!K16</f>
        <v>43555</v>
      </c>
      <c r="L3" s="47" t="s">
        <v>104</v>
      </c>
      <c r="M3" s="48" t="s">
        <v>102</v>
      </c>
      <c r="N3" s="48" t="s">
        <v>227</v>
      </c>
      <c r="Q3" s="46" t="s">
        <v>279</v>
      </c>
    </row>
    <row r="4" spans="1:17" x14ac:dyDescent="0.3">
      <c r="A4" s="33" t="s">
        <v>225</v>
      </c>
      <c r="B4" s="49">
        <f>'Profit &amp; Loss'!B16</f>
        <v>1007.1899999999998</v>
      </c>
      <c r="C4" s="49">
        <f>'Profit &amp; Loss'!C16</f>
        <v>1190.24</v>
      </c>
      <c r="D4" s="49">
        <f>'Profit &amp; Loss'!D16</f>
        <v>1435.7200000000009</v>
      </c>
      <c r="E4" s="49">
        <f>'Profit &amp; Loss'!E16</f>
        <v>1726.5600000000013</v>
      </c>
      <c r="F4" s="49">
        <f>'Profit &amp; Loss'!F16</f>
        <v>2048.7699999999991</v>
      </c>
      <c r="G4" s="49">
        <f>'Profit &amp; Loss'!G16</f>
        <v>2351.9300000000026</v>
      </c>
      <c r="H4" s="49">
        <f>'Profit &amp; Loss'!H16</f>
        <v>2497</v>
      </c>
      <c r="I4" s="49">
        <f>'Profit &amp; Loss'!I16</f>
        <v>3329</v>
      </c>
      <c r="J4" s="49">
        <f>'Profit &amp; Loss'!J16</f>
        <v>3763</v>
      </c>
      <c r="K4" s="49">
        <f>'Profit &amp; Loss'!K16</f>
        <v>3616</v>
      </c>
      <c r="L4" s="51">
        <f>(K4/B4)^(1/9)-1</f>
        <v>0.15260279533527643</v>
      </c>
      <c r="M4" s="52">
        <f>(K4/F4)^(1/5)-1</f>
        <v>0.12033277968206879</v>
      </c>
      <c r="N4" s="52">
        <f>(K4/H4)^(1/3)-1</f>
        <v>0.13136644296681332</v>
      </c>
      <c r="Q4" s="46">
        <v>5000</v>
      </c>
    </row>
    <row r="5" spans="1:17" x14ac:dyDescent="0.3">
      <c r="A5" s="34" t="s">
        <v>226</v>
      </c>
      <c r="B5" s="35">
        <f>B4/'Data Sheet'!B17</f>
        <v>0.19039364541666978</v>
      </c>
      <c r="C5" s="35">
        <f>C4/'Data Sheet'!C17</f>
        <v>0.20661449689967157</v>
      </c>
      <c r="D5" s="35">
        <f>D4/'Data Sheet'!D17</f>
        <v>0.18715423160551262</v>
      </c>
      <c r="E5" s="35">
        <f>E4/'Data Sheet'!E17</f>
        <v>0.18796172311309983</v>
      </c>
      <c r="F5" s="35">
        <f>F4/'Data Sheet'!F17</f>
        <v>0.19021379868682961</v>
      </c>
      <c r="G5" s="35">
        <f>G4/'Data Sheet'!G17</f>
        <v>0.19452678627552847</v>
      </c>
      <c r="H5" s="35">
        <f>H4/'Data Sheet'!H17</f>
        <v>0.17774772209567199</v>
      </c>
      <c r="I5" s="35">
        <f>I4/'Data Sheet'!I17</f>
        <v>0.20408288376655223</v>
      </c>
      <c r="J5" s="35">
        <f>J4/'Data Sheet'!J17</f>
        <v>0.21653815168603982</v>
      </c>
      <c r="K5" s="35">
        <f>K4/'Data Sheet'!K17</f>
        <v>0.16559051151714979</v>
      </c>
      <c r="L5" s="53">
        <f>AVERAGE(B5:K5)</f>
        <v>0.19208239510627262</v>
      </c>
      <c r="M5" s="54">
        <f>AVERAGE(G5:K5)</f>
        <v>0.19169721106818846</v>
      </c>
      <c r="N5" s="54">
        <f>AVERAGE(I5:K5)</f>
        <v>0.19540384898991395</v>
      </c>
    </row>
    <row r="6" spans="1:17" ht="14.4" thickBot="1" x14ac:dyDescent="0.35">
      <c r="A6" s="36" t="s">
        <v>167</v>
      </c>
      <c r="B6" s="37">
        <f>'Key Ratios'!B22</f>
        <v>0.14645608756798506</v>
      </c>
      <c r="C6" s="37">
        <f>'Key Ratios'!C22</f>
        <v>0.15245631346881675</v>
      </c>
      <c r="D6" s="37">
        <f>'Key Ratios'!D22</f>
        <v>0.15119105236293062</v>
      </c>
      <c r="E6" s="37">
        <f>'Key Ratios'!E22</f>
        <v>0.15514875900431044</v>
      </c>
      <c r="F6" s="37">
        <f>'Key Ratios'!F22</f>
        <v>0.19097908434542168</v>
      </c>
      <c r="G6" s="37">
        <f>'Key Ratios'!G22</f>
        <v>0.21085514368356822</v>
      </c>
      <c r="H6" s="37">
        <f>'Key Ratios'!H22</f>
        <v>0.24775510204081633</v>
      </c>
      <c r="I6" s="37">
        <f>'Key Ratios'!I22</f>
        <v>0.1942819537876572</v>
      </c>
      <c r="J6" s="37">
        <f>'Key Ratios'!J22</f>
        <v>0.19535648763206173</v>
      </c>
      <c r="K6" s="37">
        <f>'Key Ratios'!K22</f>
        <v>6.0454493548018726E-2</v>
      </c>
      <c r="L6" s="55"/>
      <c r="M6" s="56"/>
      <c r="N6" s="56"/>
    </row>
    <row r="7" spans="1:17" x14ac:dyDescent="0.3">
      <c r="A7" s="38"/>
      <c r="B7" s="39"/>
      <c r="C7" s="39"/>
      <c r="D7" s="39"/>
      <c r="E7" s="39"/>
      <c r="F7" s="39"/>
      <c r="G7" s="39"/>
      <c r="H7" s="39"/>
      <c r="I7" s="39"/>
      <c r="J7" s="39"/>
      <c r="K7" s="39"/>
      <c r="L7" s="39"/>
      <c r="M7" s="39"/>
    </row>
    <row r="8" spans="1:17" ht="14.4" thickBot="1" x14ac:dyDescent="0.35">
      <c r="A8" s="10" t="s">
        <v>108</v>
      </c>
      <c r="B8" s="40"/>
      <c r="C8" s="40"/>
      <c r="D8" s="40"/>
      <c r="E8" s="40"/>
      <c r="F8" s="40"/>
      <c r="G8" s="40"/>
      <c r="H8" s="40"/>
      <c r="I8" s="40"/>
      <c r="J8" s="40"/>
      <c r="K8" s="40"/>
      <c r="L8" s="41"/>
      <c r="M8" s="41"/>
    </row>
    <row r="9" spans="1:17" x14ac:dyDescent="0.3">
      <c r="A9" s="42" t="s">
        <v>228</v>
      </c>
      <c r="B9" s="58">
        <v>0.12</v>
      </c>
      <c r="C9" s="2"/>
      <c r="D9" s="2"/>
      <c r="E9" s="2"/>
      <c r="F9" s="2"/>
      <c r="G9" s="2"/>
      <c r="H9" s="2"/>
      <c r="I9" s="2"/>
      <c r="J9" s="2"/>
      <c r="K9" s="2"/>
      <c r="L9" s="2"/>
      <c r="M9" s="2"/>
    </row>
    <row r="10" spans="1:17" x14ac:dyDescent="0.3">
      <c r="A10" s="43" t="s">
        <v>229</v>
      </c>
      <c r="B10" s="44">
        <f>Q4*(1+B9)^3</f>
        <v>7024.6400000000021</v>
      </c>
      <c r="C10" s="45"/>
      <c r="D10" s="2"/>
      <c r="E10" s="2"/>
      <c r="F10" s="2"/>
      <c r="G10" s="2"/>
      <c r="H10" s="2"/>
      <c r="I10" s="2"/>
      <c r="J10" s="2"/>
      <c r="K10" s="2"/>
      <c r="L10" s="2"/>
      <c r="M10" s="2"/>
    </row>
    <row r="11" spans="1:17" x14ac:dyDescent="0.3">
      <c r="A11" s="43" t="s">
        <v>230</v>
      </c>
      <c r="B11" s="57">
        <f>('Data Sheet'!B9+'Profit &amp; Loss'!K23)/'Profit &amp; Loss'!L16</f>
        <v>5.9081923076923077</v>
      </c>
      <c r="C11" s="2"/>
      <c r="D11" s="2"/>
      <c r="E11" s="2"/>
      <c r="F11" s="2"/>
      <c r="G11" s="2"/>
      <c r="H11" s="2"/>
      <c r="I11" s="2"/>
      <c r="J11" s="2"/>
      <c r="K11" s="2"/>
      <c r="L11" s="2"/>
      <c r="M11" s="2"/>
    </row>
    <row r="12" spans="1:17" x14ac:dyDescent="0.3">
      <c r="C12" s="2"/>
      <c r="D12" s="2"/>
      <c r="E12" s="2"/>
      <c r="F12" s="2"/>
      <c r="G12" s="2"/>
      <c r="H12" s="2"/>
      <c r="I12" s="2"/>
      <c r="J12" s="2"/>
      <c r="K12" s="2"/>
      <c r="L12" s="2"/>
      <c r="M12" s="2"/>
    </row>
    <row r="13" spans="1:17" x14ac:dyDescent="0.3">
      <c r="A13" s="245" t="s">
        <v>217</v>
      </c>
      <c r="C13" s="2"/>
      <c r="D13" s="2"/>
      <c r="E13" s="2"/>
      <c r="F13" s="2"/>
      <c r="G13" s="2"/>
      <c r="H13" s="2"/>
      <c r="I13" s="2"/>
      <c r="J13" s="2"/>
      <c r="K13" s="2"/>
      <c r="L13" s="2"/>
      <c r="M13" s="2"/>
    </row>
    <row r="14" spans="1:17" x14ac:dyDescent="0.3">
      <c r="C14" s="2"/>
      <c r="D14" s="2"/>
      <c r="E14" s="2"/>
      <c r="F14" s="2"/>
      <c r="G14" s="2"/>
      <c r="H14" s="2"/>
      <c r="I14" s="2"/>
      <c r="J14" s="2"/>
      <c r="K14" s="2"/>
      <c r="L14" s="2"/>
      <c r="M14" s="2"/>
    </row>
    <row r="15" spans="1:17" x14ac:dyDescent="0.3">
      <c r="A15" s="43" t="s">
        <v>231</v>
      </c>
      <c r="B15" s="59">
        <v>10</v>
      </c>
      <c r="C15" s="2"/>
      <c r="D15" s="2"/>
      <c r="E15" s="2"/>
      <c r="F15" s="2"/>
      <c r="G15" s="2"/>
      <c r="H15" s="2"/>
      <c r="I15" s="2"/>
      <c r="J15" s="2"/>
      <c r="K15" s="2"/>
      <c r="L15" s="2"/>
      <c r="M15" s="2"/>
    </row>
    <row r="16" spans="1:17" x14ac:dyDescent="0.3">
      <c r="A16" s="43" t="s">
        <v>263</v>
      </c>
      <c r="B16" s="44">
        <f>B10*B15</f>
        <v>70246.400000000023</v>
      </c>
      <c r="C16" s="2"/>
      <c r="D16" s="2"/>
      <c r="E16" s="2"/>
      <c r="F16" s="2"/>
      <c r="G16" s="2"/>
      <c r="H16" s="2"/>
      <c r="I16" s="2"/>
      <c r="J16" s="2"/>
      <c r="K16" s="2"/>
      <c r="L16" s="2"/>
      <c r="M16" s="2"/>
    </row>
    <row r="17" spans="1:13" x14ac:dyDescent="0.3">
      <c r="A17" s="43" t="s">
        <v>201</v>
      </c>
      <c r="B17" s="50">
        <f>'DCF Calc'!P8</f>
        <v>0.12</v>
      </c>
      <c r="C17" s="2"/>
      <c r="D17" s="2"/>
      <c r="E17" s="2"/>
      <c r="F17" s="2"/>
      <c r="G17" s="2"/>
      <c r="H17" s="2"/>
      <c r="I17" s="2"/>
      <c r="J17" s="2"/>
      <c r="K17" s="2"/>
      <c r="L17" s="2"/>
      <c r="M17" s="2"/>
    </row>
    <row r="18" spans="1:13" x14ac:dyDescent="0.3">
      <c r="A18" s="43" t="s">
        <v>262</v>
      </c>
      <c r="B18" s="44">
        <f>B16/(1+B17)^3</f>
        <v>50000</v>
      </c>
      <c r="C18" s="2"/>
      <c r="D18" s="2"/>
      <c r="E18" s="2"/>
      <c r="F18" s="2"/>
      <c r="G18" s="2"/>
      <c r="H18" s="2"/>
      <c r="I18" s="2"/>
      <c r="J18" s="2"/>
      <c r="K18" s="2"/>
      <c r="L18" s="2"/>
      <c r="M18" s="2"/>
    </row>
    <row r="19" spans="1:13" x14ac:dyDescent="0.3">
      <c r="A19" s="43" t="s">
        <v>264</v>
      </c>
      <c r="B19" s="69">
        <f>B18-'Balance Sheet'!$M$23</f>
        <v>30000</v>
      </c>
      <c r="C19" s="2"/>
      <c r="D19" s="2"/>
      <c r="E19" s="2"/>
      <c r="F19" s="2"/>
      <c r="G19" s="2"/>
      <c r="H19" s="2"/>
      <c r="I19" s="2"/>
      <c r="J19" s="2"/>
      <c r="K19" s="2"/>
      <c r="L19" s="2"/>
      <c r="M19" s="2"/>
    </row>
    <row r="20" spans="1:13" x14ac:dyDescent="0.3">
      <c r="A20" s="43" t="s">
        <v>106</v>
      </c>
      <c r="B20" s="69">
        <f>'Data Sheet'!B9</f>
        <v>32093.73</v>
      </c>
    </row>
    <row r="21" spans="1:13" x14ac:dyDescent="0.3">
      <c r="A21" s="2"/>
      <c r="B21" s="2"/>
    </row>
    <row r="22" spans="1:13" x14ac:dyDescent="0.3">
      <c r="A22" s="241" t="s">
        <v>215</v>
      </c>
      <c r="B22" s="242">
        <f>B19/Summary!B6</f>
        <v>392.6467880174726</v>
      </c>
    </row>
    <row r="23" spans="1:13" x14ac:dyDescent="0.3">
      <c r="A23" s="243"/>
      <c r="B23" s="244"/>
    </row>
    <row r="24" spans="1:13" x14ac:dyDescent="0.3">
      <c r="A24" s="246" t="s">
        <v>216</v>
      </c>
      <c r="B24" s="244"/>
    </row>
    <row r="26" spans="1:13" x14ac:dyDescent="0.3">
      <c r="A26" s="43" t="s">
        <v>231</v>
      </c>
      <c r="B26" s="59">
        <v>12</v>
      </c>
    </row>
    <row r="27" spans="1:13" x14ac:dyDescent="0.3">
      <c r="A27" s="43" t="s">
        <v>263</v>
      </c>
      <c r="B27" s="44">
        <f>B26*B10</f>
        <v>84295.680000000022</v>
      </c>
    </row>
    <row r="28" spans="1:13" x14ac:dyDescent="0.3">
      <c r="A28" s="43" t="s">
        <v>201</v>
      </c>
      <c r="B28" s="50">
        <f>B17</f>
        <v>0.12</v>
      </c>
    </row>
    <row r="29" spans="1:13" x14ac:dyDescent="0.3">
      <c r="A29" s="43" t="s">
        <v>262</v>
      </c>
      <c r="B29" s="44">
        <f>B27/(1+B28)^3</f>
        <v>60000</v>
      </c>
    </row>
    <row r="30" spans="1:13" x14ac:dyDescent="0.3">
      <c r="A30" s="43" t="s">
        <v>265</v>
      </c>
      <c r="B30" s="69">
        <f>B29-'Balance Sheet'!$M$23</f>
        <v>40000</v>
      </c>
    </row>
    <row r="31" spans="1:13" x14ac:dyDescent="0.3">
      <c r="A31" s="43" t="s">
        <v>106</v>
      </c>
      <c r="B31" s="69">
        <f>'Data Sheet'!B9</f>
        <v>32093.73</v>
      </c>
    </row>
    <row r="32" spans="1:13" x14ac:dyDescent="0.3">
      <c r="A32" s="2"/>
      <c r="B32" s="2"/>
    </row>
    <row r="33" spans="1:2" x14ac:dyDescent="0.3">
      <c r="A33" s="241" t="s">
        <v>215</v>
      </c>
      <c r="B33" s="242">
        <f>B30/Summary!B6</f>
        <v>523.52905068996347</v>
      </c>
    </row>
  </sheetData>
  <mergeCells count="2">
    <mergeCell ref="A1:N1"/>
    <mergeCell ref="A2:N2"/>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xr2:uid="{CE6DE9D8-BF04-4ABE-8BAF-3AAF7474D4A8}">
          <x14:colorSeries rgb="FF376092"/>
          <x14:colorNegative rgb="FFD00000"/>
          <x14:colorAxis rgb="FF000000"/>
          <x14:colorMarkers rgb="FFD00000"/>
          <x14:colorFirst rgb="FFD00000"/>
          <x14:colorLast rgb="FFD00000"/>
          <x14:colorHigh rgb="FFD00000"/>
          <x14:colorLow rgb="FFD00000"/>
          <x14:sparklines>
            <x14:sparkline>
              <xm:f>'EBITDA Multiple'!L4:N4</xm:f>
              <xm:sqref>O4</xm:sqref>
            </x14:sparkline>
          </x14:sparklines>
        </x14:sparklineGroup>
        <x14:sparklineGroup type="column" displayEmptyCellsAs="gap" xr2:uid="{7BDFDE3B-7F12-42CB-9C84-30D91CA08CA1}">
          <x14:colorSeries rgb="FF376092"/>
          <x14:colorNegative rgb="FFD00000"/>
          <x14:colorAxis rgb="FF000000"/>
          <x14:colorMarkers rgb="FFD00000"/>
          <x14:colorFirst rgb="FFD00000"/>
          <x14:colorLast rgb="FFD00000"/>
          <x14:colorHigh rgb="FFD00000"/>
          <x14:colorLow rgb="FFD00000"/>
          <x14:sparklines>
            <x14:sparkline>
              <xm:f>'EBITDA Multiple'!L5:N5</xm:f>
              <xm:sqref>O5</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F3-13FA-4D4B-9E56-32A4D599152A}">
  <dimension ref="A1:E12"/>
  <sheetViews>
    <sheetView workbookViewId="0">
      <selection activeCell="A13" sqref="A13"/>
    </sheetView>
  </sheetViews>
  <sheetFormatPr defaultColWidth="8.77734375" defaultRowHeight="13.2" x14ac:dyDescent="0.25"/>
  <cols>
    <col min="1" max="1" width="18.44140625" style="116" bestFit="1" customWidth="1"/>
    <col min="2" max="3" width="9.21875" style="116" bestFit="1" customWidth="1"/>
    <col min="4" max="16384" width="8.77734375" style="116"/>
  </cols>
  <sheetData>
    <row r="1" spans="1:5" ht="19.2" x14ac:dyDescent="0.35">
      <c r="A1" s="380" t="s">
        <v>140</v>
      </c>
      <c r="B1" s="381"/>
      <c r="C1" s="382"/>
    </row>
    <row r="2" spans="1:5" x14ac:dyDescent="0.25">
      <c r="A2" s="383" t="str">
        <f>'Data Sheet'!B1</f>
        <v>UPL LTD</v>
      </c>
      <c r="B2" s="384"/>
      <c r="C2" s="385"/>
    </row>
    <row r="3" spans="1:5" x14ac:dyDescent="0.25">
      <c r="A3" s="117"/>
      <c r="B3" s="118" t="s">
        <v>116</v>
      </c>
      <c r="C3" s="119" t="s">
        <v>117</v>
      </c>
      <c r="D3" s="260"/>
    </row>
    <row r="4" spans="1:5" x14ac:dyDescent="0.25">
      <c r="A4" s="247" t="s">
        <v>220</v>
      </c>
      <c r="B4" s="17" t="s">
        <v>280</v>
      </c>
      <c r="C4" s="17" t="s">
        <v>280</v>
      </c>
      <c r="D4" s="262">
        <f>$B$8</f>
        <v>360</v>
      </c>
    </row>
    <row r="5" spans="1:5" x14ac:dyDescent="0.25">
      <c r="A5" s="2" t="s">
        <v>221</v>
      </c>
      <c r="B5" s="120">
        <f>'DCF Calc'!K22</f>
        <v>362.81260611472607</v>
      </c>
      <c r="C5" s="120">
        <f>'DCF Calc'!K43</f>
        <v>422.45756052439452</v>
      </c>
      <c r="D5" s="262">
        <f>$B$8</f>
        <v>360</v>
      </c>
    </row>
    <row r="6" spans="1:5" x14ac:dyDescent="0.25">
      <c r="A6" s="247" t="s">
        <v>218</v>
      </c>
      <c r="B6" s="120">
        <f>'Expected Returns'!B21</f>
        <v>372.845045328217</v>
      </c>
      <c r="C6" s="120">
        <f>'Expected Returns'!B31</f>
        <v>466.05630666027116</v>
      </c>
      <c r="D6" s="262">
        <f>$B$8</f>
        <v>360</v>
      </c>
    </row>
    <row r="7" spans="1:5" x14ac:dyDescent="0.25">
      <c r="A7" s="247" t="s">
        <v>219</v>
      </c>
      <c r="B7" s="120">
        <f>'EBITDA Multiple'!B22</f>
        <v>392.6467880174726</v>
      </c>
      <c r="C7" s="120">
        <f>'EBITDA Multiple'!B33</f>
        <v>523.52905068996347</v>
      </c>
      <c r="D7" s="262">
        <f>$B$8</f>
        <v>360</v>
      </c>
    </row>
    <row r="8" spans="1:5" x14ac:dyDescent="0.25">
      <c r="A8" s="223" t="s">
        <v>37</v>
      </c>
      <c r="B8" s="386">
        <f>Summary!B4</f>
        <v>360</v>
      </c>
      <c r="C8" s="387"/>
      <c r="D8" s="260"/>
      <c r="E8" s="260"/>
    </row>
    <row r="11" spans="1:5" x14ac:dyDescent="0.25">
      <c r="A11" s="2" t="s">
        <v>281</v>
      </c>
      <c r="B11" s="260"/>
    </row>
    <row r="12" spans="1:5" x14ac:dyDescent="0.25">
      <c r="A12" s="2" t="s">
        <v>295</v>
      </c>
      <c r="B12" s="261"/>
    </row>
  </sheetData>
  <mergeCells count="3">
    <mergeCell ref="A1:C1"/>
    <mergeCell ref="A2:C2"/>
    <mergeCell ref="B8:C8"/>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L25"/>
  <sheetViews>
    <sheetView workbookViewId="0">
      <pane xSplit="1" ySplit="3" topLeftCell="B4" activePane="bottomRight" state="frozen"/>
      <selection pane="topRight" activeCell="B1" sqref="B1"/>
      <selection pane="bottomLeft" activeCell="A4" sqref="A4"/>
      <selection pane="bottomRight" activeCell="M1" sqref="M1"/>
    </sheetView>
  </sheetViews>
  <sheetFormatPr defaultColWidth="9.21875" defaultRowHeight="13.2" x14ac:dyDescent="0.25"/>
  <cols>
    <col min="1" max="1" width="21.77734375" style="7" bestFit="1" customWidth="1"/>
    <col min="2" max="2" width="6.77734375" style="7" bestFit="1" customWidth="1"/>
    <col min="3" max="3" width="6.6640625" style="7" bestFit="1" customWidth="1"/>
    <col min="4" max="6" width="6.77734375" style="7" bestFit="1" customWidth="1"/>
    <col min="7" max="7" width="6.6640625" style="7" bestFit="1" customWidth="1"/>
    <col min="8" max="10" width="6.77734375" style="7" bestFit="1" customWidth="1"/>
    <col min="11" max="11" width="6.6640625" style="7" bestFit="1" customWidth="1"/>
    <col min="12" max="16384" width="9.21875" style="7"/>
  </cols>
  <sheetData>
    <row r="1" spans="1:11" s="1" customFormat="1" x14ac:dyDescent="0.25">
      <c r="A1" s="1" t="str">
        <f>'Profit &amp; Loss'!A2</f>
        <v>UPL LTD</v>
      </c>
      <c r="E1" s="2" t="str">
        <f>UPDATE</f>
        <v/>
      </c>
      <c r="K1" s="11"/>
    </row>
    <row r="2" spans="1:11" x14ac:dyDescent="0.25">
      <c r="A2" s="11" t="s">
        <v>1</v>
      </c>
    </row>
    <row r="3" spans="1:11" s="4" customFormat="1" x14ac:dyDescent="0.25">
      <c r="A3" s="70" t="s">
        <v>2</v>
      </c>
      <c r="B3" s="71">
        <f>'Data Sheet'!B41</f>
        <v>43008</v>
      </c>
      <c r="C3" s="71">
        <f>'Data Sheet'!C41</f>
        <v>43100</v>
      </c>
      <c r="D3" s="71">
        <f>'Data Sheet'!D41</f>
        <v>43190</v>
      </c>
      <c r="E3" s="71">
        <f>'Data Sheet'!E41</f>
        <v>43281</v>
      </c>
      <c r="F3" s="71">
        <f>'Data Sheet'!F41</f>
        <v>43373</v>
      </c>
      <c r="G3" s="71">
        <f>'Data Sheet'!G41</f>
        <v>43465</v>
      </c>
      <c r="H3" s="71">
        <f>'Data Sheet'!H41</f>
        <v>43555</v>
      </c>
      <c r="I3" s="71">
        <f>'Data Sheet'!I41</f>
        <v>43646</v>
      </c>
      <c r="J3" s="71">
        <f>'Data Sheet'!J41</f>
        <v>43738</v>
      </c>
      <c r="K3" s="72">
        <f>'Data Sheet'!K41</f>
        <v>43830</v>
      </c>
    </row>
    <row r="4" spans="1:11" s="1" customFormat="1" x14ac:dyDescent="0.25">
      <c r="A4" s="73" t="s">
        <v>4</v>
      </c>
      <c r="B4" s="67">
        <f>'Data Sheet'!B42</f>
        <v>3770</v>
      </c>
      <c r="C4" s="67">
        <f>'Data Sheet'!C42</f>
        <v>4194</v>
      </c>
      <c r="D4" s="67">
        <f>'Data Sheet'!D42</f>
        <v>5691</v>
      </c>
      <c r="E4" s="67">
        <f>'Data Sheet'!E42</f>
        <v>4134</v>
      </c>
      <c r="F4" s="67">
        <f>'Data Sheet'!F42</f>
        <v>4257</v>
      </c>
      <c r="G4" s="67">
        <f>'Data Sheet'!G42</f>
        <v>4921</v>
      </c>
      <c r="H4" s="67">
        <f>'Data Sheet'!H42</f>
        <v>8525</v>
      </c>
      <c r="I4" s="67">
        <f>'Data Sheet'!I42</f>
        <v>7906</v>
      </c>
      <c r="J4" s="67">
        <f>'Data Sheet'!J42</f>
        <v>7817</v>
      </c>
      <c r="K4" s="74">
        <f>'Data Sheet'!K42</f>
        <v>8892</v>
      </c>
    </row>
    <row r="5" spans="1:11" s="6" customFormat="1" x14ac:dyDescent="0.25">
      <c r="A5" s="75" t="s">
        <v>75</v>
      </c>
      <c r="B5" s="76"/>
      <c r="C5" s="76"/>
      <c r="D5" s="76"/>
      <c r="E5" s="76"/>
      <c r="F5" s="66">
        <f>F4/B4-1</f>
        <v>0.12917771883289131</v>
      </c>
      <c r="G5" s="66">
        <f t="shared" ref="G5:K5" si="0">G4/C4-1</f>
        <v>0.17334287076776356</v>
      </c>
      <c r="H5" s="66">
        <f t="shared" si="0"/>
        <v>0.49797926550694083</v>
      </c>
      <c r="I5" s="66">
        <f t="shared" si="0"/>
        <v>0.91243347847121425</v>
      </c>
      <c r="J5" s="66">
        <f t="shared" si="0"/>
        <v>0.83626967347897585</v>
      </c>
      <c r="K5" s="77">
        <f t="shared" si="0"/>
        <v>0.80694980694980689</v>
      </c>
    </row>
    <row r="6" spans="1:11" x14ac:dyDescent="0.25">
      <c r="A6" s="78" t="s">
        <v>5</v>
      </c>
      <c r="B6" s="17">
        <f>'Data Sheet'!B43</f>
        <v>3093</v>
      </c>
      <c r="C6" s="17">
        <f>'Data Sheet'!C43</f>
        <v>3478</v>
      </c>
      <c r="D6" s="17">
        <f>'Data Sheet'!D43</f>
        <v>4270</v>
      </c>
      <c r="E6" s="17">
        <f>'Data Sheet'!E43</f>
        <v>3337</v>
      </c>
      <c r="F6" s="17">
        <f>'Data Sheet'!F43</f>
        <v>3470</v>
      </c>
      <c r="G6" s="17">
        <f>'Data Sheet'!G43</f>
        <v>3983</v>
      </c>
      <c r="H6" s="17">
        <f>'Data Sheet'!H43</f>
        <v>7234</v>
      </c>
      <c r="I6" s="17">
        <f>'Data Sheet'!I43</f>
        <v>6666</v>
      </c>
      <c r="J6" s="17">
        <f>'Data Sheet'!J43</f>
        <v>6370</v>
      </c>
      <c r="K6" s="79">
        <f>'Data Sheet'!K43</f>
        <v>6790</v>
      </c>
    </row>
    <row r="7" spans="1:11" s="1" customFormat="1" x14ac:dyDescent="0.25">
      <c r="A7" s="73" t="s">
        <v>6</v>
      </c>
      <c r="B7" s="67">
        <f>'Data Sheet'!B50</f>
        <v>677</v>
      </c>
      <c r="C7" s="67">
        <f>'Data Sheet'!C50</f>
        <v>716</v>
      </c>
      <c r="D7" s="67">
        <f>'Data Sheet'!D50</f>
        <v>1421</v>
      </c>
      <c r="E7" s="67">
        <f>'Data Sheet'!E50</f>
        <v>797</v>
      </c>
      <c r="F7" s="67">
        <f>'Data Sheet'!F50</f>
        <v>787</v>
      </c>
      <c r="G7" s="67">
        <f>'Data Sheet'!G50</f>
        <v>938</v>
      </c>
      <c r="H7" s="67">
        <f>'Data Sheet'!H50</f>
        <v>1291</v>
      </c>
      <c r="I7" s="67">
        <f>'Data Sheet'!I50</f>
        <v>1240</v>
      </c>
      <c r="J7" s="67">
        <f>'Data Sheet'!J50</f>
        <v>1447</v>
      </c>
      <c r="K7" s="74">
        <f>'Data Sheet'!K50</f>
        <v>2102</v>
      </c>
    </row>
    <row r="8" spans="1:11" x14ac:dyDescent="0.25">
      <c r="A8" s="78" t="s">
        <v>7</v>
      </c>
      <c r="B8" s="17">
        <f>'Data Sheet'!B44</f>
        <v>45</v>
      </c>
      <c r="C8" s="17">
        <f>'Data Sheet'!C44</f>
        <v>112</v>
      </c>
      <c r="D8" s="17">
        <f>'Data Sheet'!D44</f>
        <v>112</v>
      </c>
      <c r="E8" s="17">
        <f>'Data Sheet'!E44</f>
        <v>119</v>
      </c>
      <c r="F8" s="17">
        <f>'Data Sheet'!F44</f>
        <v>-25</v>
      </c>
      <c r="G8" s="17">
        <f>'Data Sheet'!G44</f>
        <v>-54</v>
      </c>
      <c r="H8" s="17">
        <f>'Data Sheet'!H44</f>
        <v>-251</v>
      </c>
      <c r="I8" s="17">
        <f>'Data Sheet'!I44</f>
        <v>-33</v>
      </c>
      <c r="J8" s="17">
        <f>'Data Sheet'!J44</f>
        <v>-281</v>
      </c>
      <c r="K8" s="79">
        <f>'Data Sheet'!K44</f>
        <v>-55</v>
      </c>
    </row>
    <row r="9" spans="1:11" x14ac:dyDescent="0.25">
      <c r="A9" s="78" t="s">
        <v>8</v>
      </c>
      <c r="B9" s="17">
        <f>'Data Sheet'!B45</f>
        <v>165</v>
      </c>
      <c r="C9" s="17">
        <f>'Data Sheet'!C45</f>
        <v>169</v>
      </c>
      <c r="D9" s="17">
        <f>'Data Sheet'!D45</f>
        <v>184</v>
      </c>
      <c r="E9" s="17">
        <f>'Data Sheet'!E45</f>
        <v>175</v>
      </c>
      <c r="F9" s="17">
        <f>'Data Sheet'!F45</f>
        <v>181</v>
      </c>
      <c r="G9" s="17">
        <f>'Data Sheet'!G45</f>
        <v>182</v>
      </c>
      <c r="H9" s="17">
        <f>'Data Sheet'!H45</f>
        <v>431</v>
      </c>
      <c r="I9" s="17">
        <f>'Data Sheet'!I45</f>
        <v>577</v>
      </c>
      <c r="J9" s="17">
        <f>'Data Sheet'!J45</f>
        <v>476</v>
      </c>
      <c r="K9" s="79">
        <f>'Data Sheet'!K45</f>
        <v>495</v>
      </c>
    </row>
    <row r="10" spans="1:11" x14ac:dyDescent="0.25">
      <c r="A10" s="78" t="s">
        <v>9</v>
      </c>
      <c r="B10" s="17">
        <f>'Data Sheet'!B46</f>
        <v>182</v>
      </c>
      <c r="C10" s="17">
        <f>'Data Sheet'!C46</f>
        <v>111</v>
      </c>
      <c r="D10" s="17">
        <f>'Data Sheet'!D46</f>
        <v>410</v>
      </c>
      <c r="E10" s="17">
        <f>'Data Sheet'!E46</f>
        <v>175</v>
      </c>
      <c r="F10" s="17">
        <f>'Data Sheet'!F46</f>
        <v>181</v>
      </c>
      <c r="G10" s="17">
        <f>'Data Sheet'!G46</f>
        <v>202</v>
      </c>
      <c r="H10" s="17">
        <f>'Data Sheet'!H46</f>
        <v>405</v>
      </c>
      <c r="I10" s="17">
        <f>'Data Sheet'!I46</f>
        <v>398</v>
      </c>
      <c r="J10" s="17">
        <f>'Data Sheet'!J46</f>
        <v>381</v>
      </c>
      <c r="K10" s="79">
        <f>'Data Sheet'!K46</f>
        <v>515</v>
      </c>
    </row>
    <row r="11" spans="1:11" x14ac:dyDescent="0.25">
      <c r="A11" s="78" t="s">
        <v>10</v>
      </c>
      <c r="B11" s="17">
        <f>'Data Sheet'!B47</f>
        <v>375</v>
      </c>
      <c r="C11" s="17">
        <f>'Data Sheet'!C47</f>
        <v>548</v>
      </c>
      <c r="D11" s="17">
        <f>'Data Sheet'!D47</f>
        <v>939</v>
      </c>
      <c r="E11" s="17">
        <f>'Data Sheet'!E47</f>
        <v>566</v>
      </c>
      <c r="F11" s="17">
        <f>'Data Sheet'!F47</f>
        <v>400</v>
      </c>
      <c r="G11" s="17">
        <f>'Data Sheet'!G47</f>
        <v>500</v>
      </c>
      <c r="H11" s="17">
        <f>'Data Sheet'!H47</f>
        <v>204</v>
      </c>
      <c r="I11" s="17">
        <f>'Data Sheet'!I47</f>
        <v>232</v>
      </c>
      <c r="J11" s="17">
        <f>'Data Sheet'!J47</f>
        <v>309</v>
      </c>
      <c r="K11" s="79">
        <f>'Data Sheet'!K47</f>
        <v>1037</v>
      </c>
    </row>
    <row r="12" spans="1:11" x14ac:dyDescent="0.25">
      <c r="A12" s="75" t="s">
        <v>83</v>
      </c>
      <c r="B12" s="66">
        <f>B11/B4</f>
        <v>9.9469496021220155E-2</v>
      </c>
      <c r="C12" s="66">
        <f t="shared" ref="C12:K12" si="1">C11/C4</f>
        <v>0.1306628516928946</v>
      </c>
      <c r="D12" s="66">
        <f t="shared" si="1"/>
        <v>0.16499736425935688</v>
      </c>
      <c r="E12" s="66">
        <f t="shared" si="1"/>
        <v>0.13691340106434446</v>
      </c>
      <c r="F12" s="66">
        <f t="shared" si="1"/>
        <v>9.3962884660559076E-2</v>
      </c>
      <c r="G12" s="66">
        <f t="shared" si="1"/>
        <v>0.1016053647632595</v>
      </c>
      <c r="H12" s="66">
        <f t="shared" si="1"/>
        <v>2.3929618768328446E-2</v>
      </c>
      <c r="I12" s="66">
        <f t="shared" si="1"/>
        <v>2.9344801416645586E-2</v>
      </c>
      <c r="J12" s="66">
        <f t="shared" si="1"/>
        <v>3.9529231162850197E-2</v>
      </c>
      <c r="K12" s="77">
        <f t="shared" si="1"/>
        <v>0.1166216824111561</v>
      </c>
    </row>
    <row r="13" spans="1:11" s="6" customFormat="1" x14ac:dyDescent="0.25">
      <c r="A13" s="75" t="s">
        <v>75</v>
      </c>
      <c r="B13" s="76"/>
      <c r="C13" s="76"/>
      <c r="D13" s="76"/>
      <c r="E13" s="76"/>
      <c r="F13" s="66">
        <f>F11/B11-1</f>
        <v>6.6666666666666652E-2</v>
      </c>
      <c r="G13" s="66">
        <f>G11/C11-1</f>
        <v>-8.7591240875912413E-2</v>
      </c>
      <c r="H13" s="66">
        <f>H11/D11-1</f>
        <v>-0.78274760383386588</v>
      </c>
      <c r="I13" s="66">
        <f>I11/E11-1</f>
        <v>-0.59010600706713778</v>
      </c>
      <c r="J13" s="66">
        <f>J11/F11-1</f>
        <v>-0.22750000000000004</v>
      </c>
      <c r="K13" s="77">
        <f t="shared" ref="K13" si="2">K11/G11-1</f>
        <v>1.0739999999999998</v>
      </c>
    </row>
    <row r="14" spans="1:11" x14ac:dyDescent="0.25">
      <c r="A14" s="78" t="s">
        <v>11</v>
      </c>
      <c r="B14" s="17">
        <f>'Data Sheet'!B48</f>
        <v>75</v>
      </c>
      <c r="C14" s="17">
        <f>'Data Sheet'!C48</f>
        <v>-14</v>
      </c>
      <c r="D14" s="17">
        <f>'Data Sheet'!D48</f>
        <v>166</v>
      </c>
      <c r="E14" s="17">
        <f>'Data Sheet'!E48</f>
        <v>52</v>
      </c>
      <c r="F14" s="17">
        <f>'Data Sheet'!F48</f>
        <v>116</v>
      </c>
      <c r="G14" s="17">
        <f>'Data Sheet'!G48</f>
        <v>28</v>
      </c>
      <c r="H14" s="17">
        <f>'Data Sheet'!H48</f>
        <v>-31</v>
      </c>
      <c r="I14" s="17">
        <f>'Data Sheet'!I48</f>
        <v>12</v>
      </c>
      <c r="J14" s="17">
        <f>'Data Sheet'!J48</f>
        <v>99</v>
      </c>
      <c r="K14" s="79">
        <f>'Data Sheet'!K48</f>
        <v>199</v>
      </c>
    </row>
    <row r="15" spans="1:11" s="1" customFormat="1" x14ac:dyDescent="0.25">
      <c r="A15" s="73" t="s">
        <v>12</v>
      </c>
      <c r="B15" s="67">
        <f>'Data Sheet'!B49</f>
        <v>237</v>
      </c>
      <c r="C15" s="67">
        <f>'Data Sheet'!C49</f>
        <v>574</v>
      </c>
      <c r="D15" s="67">
        <f>'Data Sheet'!D49</f>
        <v>736</v>
      </c>
      <c r="E15" s="67">
        <f>'Data Sheet'!E49</f>
        <v>510</v>
      </c>
      <c r="F15" s="67">
        <f>'Data Sheet'!F49</f>
        <v>270</v>
      </c>
      <c r="G15" s="67">
        <f>'Data Sheet'!G49</f>
        <v>461</v>
      </c>
      <c r="H15" s="67">
        <f>'Data Sheet'!H49</f>
        <v>206</v>
      </c>
      <c r="I15" s="67">
        <f>'Data Sheet'!I49</f>
        <v>178</v>
      </c>
      <c r="J15" s="67">
        <f>'Data Sheet'!J49</f>
        <v>166</v>
      </c>
      <c r="K15" s="74">
        <f>'Data Sheet'!K49</f>
        <v>701</v>
      </c>
    </row>
    <row r="16" spans="1:11" s="6" customFormat="1" x14ac:dyDescent="0.25">
      <c r="A16" s="75" t="s">
        <v>75</v>
      </c>
      <c r="B16" s="76"/>
      <c r="C16" s="76"/>
      <c r="D16" s="76"/>
      <c r="E16" s="76"/>
      <c r="F16" s="66">
        <f>F15/B15-1</f>
        <v>0.139240506329114</v>
      </c>
      <c r="G16" s="66">
        <f t="shared" ref="G16" si="3">G15/C15-1</f>
        <v>-0.19686411149825789</v>
      </c>
      <c r="H16" s="66">
        <f t="shared" ref="H16" si="4">H15/D15-1</f>
        <v>-0.72010869565217384</v>
      </c>
      <c r="I16" s="66">
        <f t="shared" ref="I16" si="5">I15/E15-1</f>
        <v>-0.65098039215686276</v>
      </c>
      <c r="J16" s="66">
        <f t="shared" ref="J16" si="6">J15/F15-1</f>
        <v>-0.38518518518518519</v>
      </c>
      <c r="K16" s="77">
        <f t="shared" ref="K16" si="7">K15/G15-1</f>
        <v>0.52060737527114975</v>
      </c>
    </row>
    <row r="17" spans="1:12" s="1" customFormat="1" x14ac:dyDescent="0.25">
      <c r="A17" s="80" t="s">
        <v>14</v>
      </c>
      <c r="B17" s="81">
        <f t="shared" ref="B17:K17" si="8">IF(B4&gt;0,B7/B4,"")</f>
        <v>0.17957559681697613</v>
      </c>
      <c r="C17" s="81">
        <f t="shared" si="8"/>
        <v>0.17072007629947544</v>
      </c>
      <c r="D17" s="81">
        <f t="shared" si="8"/>
        <v>0.24969249692496925</v>
      </c>
      <c r="E17" s="81">
        <f t="shared" si="8"/>
        <v>0.19279148524431544</v>
      </c>
      <c r="F17" s="81">
        <f t="shared" si="8"/>
        <v>0.18487197556964999</v>
      </c>
      <c r="G17" s="81">
        <f t="shared" si="8"/>
        <v>0.19061166429587481</v>
      </c>
      <c r="H17" s="81">
        <f t="shared" si="8"/>
        <v>0.15143695014662756</v>
      </c>
      <c r="I17" s="81">
        <f t="shared" si="8"/>
        <v>0.15684290412345053</v>
      </c>
      <c r="J17" s="81">
        <f t="shared" si="8"/>
        <v>0.18510937699884866</v>
      </c>
      <c r="K17" s="82">
        <f t="shared" si="8"/>
        <v>0.23639226270805219</v>
      </c>
      <c r="L17" s="6"/>
    </row>
    <row r="25" spans="1:12" s="13" customFormat="1" x14ac:dyDescent="0.25"/>
  </sheetData>
  <hyperlinks>
    <hyperlink ref="A2"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workbookViewId="0">
      <pane xSplit="1" ySplit="1" topLeftCell="B2" activePane="bottomRight" state="frozen"/>
      <selection activeCell="C4" sqref="C4"/>
      <selection pane="topRight" activeCell="C4" sqref="C4"/>
      <selection pane="bottomLeft" activeCell="C4" sqref="C4"/>
      <selection pane="bottomRight" activeCell="L1" sqref="L1"/>
    </sheetView>
  </sheetViews>
  <sheetFormatPr defaultColWidth="9.21875" defaultRowHeight="13.2" x14ac:dyDescent="0.25"/>
  <cols>
    <col min="1" max="1" width="25.21875" style="8" bestFit="1" customWidth="1"/>
    <col min="2" max="2" width="13.88671875" style="8" bestFit="1" customWidth="1"/>
    <col min="3" max="8" width="9.77734375" style="8" bestFit="1" customWidth="1"/>
    <col min="9" max="11" width="10.77734375" style="8" bestFit="1" customWidth="1"/>
    <col min="12" max="16384" width="9.21875" style="8"/>
  </cols>
  <sheetData>
    <row r="1" spans="1:11" s="5" customFormat="1" x14ac:dyDescent="0.25">
      <c r="A1" s="5" t="s">
        <v>0</v>
      </c>
      <c r="B1" s="5" t="s">
        <v>47</v>
      </c>
      <c r="E1" s="388" t="str">
        <f>IF(B2&lt;&gt;B3, "A NEW VERSION OF THE WORKSHEET IS AVAILABLE", "")</f>
        <v/>
      </c>
      <c r="F1" s="388"/>
      <c r="G1" s="388"/>
      <c r="H1" s="388"/>
      <c r="I1" s="388"/>
      <c r="J1" s="388"/>
      <c r="K1" s="388"/>
    </row>
    <row r="2" spans="1:11" x14ac:dyDescent="0.25">
      <c r="A2" s="5" t="s">
        <v>45</v>
      </c>
      <c r="B2" s="8">
        <v>2.1</v>
      </c>
      <c r="E2" s="389" t="s">
        <v>30</v>
      </c>
      <c r="F2" s="389"/>
      <c r="G2" s="389"/>
      <c r="H2" s="389"/>
      <c r="I2" s="389"/>
      <c r="J2" s="389"/>
      <c r="K2" s="389"/>
    </row>
    <row r="3" spans="1:11" x14ac:dyDescent="0.25">
      <c r="A3" s="5" t="s">
        <v>46</v>
      </c>
      <c r="B3" s="8">
        <v>2.1</v>
      </c>
    </row>
    <row r="4" spans="1:11" x14ac:dyDescent="0.25">
      <c r="A4" s="5"/>
    </row>
    <row r="5" spans="1:11" x14ac:dyDescent="0.25">
      <c r="A5" s="5" t="s">
        <v>48</v>
      </c>
    </row>
    <row r="6" spans="1:11" x14ac:dyDescent="0.25">
      <c r="A6" s="8" t="s">
        <v>36</v>
      </c>
      <c r="B6" s="8">
        <f>IF(B9&gt;0, B9/B8, 0)</f>
        <v>76.404547077728836</v>
      </c>
    </row>
    <row r="7" spans="1:11" x14ac:dyDescent="0.25">
      <c r="A7" s="8" t="s">
        <v>25</v>
      </c>
      <c r="B7" s="2">
        <v>2</v>
      </c>
    </row>
    <row r="8" spans="1:11" x14ac:dyDescent="0.25">
      <c r="A8" s="8" t="s">
        <v>37</v>
      </c>
      <c r="B8" s="2">
        <v>420.05</v>
      </c>
    </row>
    <row r="9" spans="1:11" x14ac:dyDescent="0.25">
      <c r="A9" s="8" t="s">
        <v>62</v>
      </c>
      <c r="B9" s="2">
        <v>32093.73</v>
      </c>
    </row>
    <row r="15" spans="1:11" x14ac:dyDescent="0.25">
      <c r="A15" s="5" t="s">
        <v>31</v>
      </c>
    </row>
    <row r="16" spans="1:11" s="15" customFormat="1" x14ac:dyDescent="0.25">
      <c r="A16" s="14" t="s">
        <v>32</v>
      </c>
      <c r="B16" s="3">
        <v>40268</v>
      </c>
      <c r="C16" s="3">
        <v>40633</v>
      </c>
      <c r="D16" s="3">
        <v>40999</v>
      </c>
      <c r="E16" s="3">
        <v>41364</v>
      </c>
      <c r="F16" s="3">
        <v>41729</v>
      </c>
      <c r="G16" s="3">
        <v>42094</v>
      </c>
      <c r="H16" s="3">
        <v>42460</v>
      </c>
      <c r="I16" s="3">
        <v>42825</v>
      </c>
      <c r="J16" s="3">
        <v>43190</v>
      </c>
      <c r="K16" s="3">
        <v>43555</v>
      </c>
    </row>
    <row r="17" spans="1:11" x14ac:dyDescent="0.25">
      <c r="A17" s="8" t="s">
        <v>4</v>
      </c>
      <c r="B17" s="2">
        <v>5290.04</v>
      </c>
      <c r="C17" s="2">
        <v>5760.68</v>
      </c>
      <c r="D17" s="2">
        <v>7671.32</v>
      </c>
      <c r="E17" s="2">
        <v>9185.7000000000007</v>
      </c>
      <c r="F17" s="2">
        <v>10770.88</v>
      </c>
      <c r="G17" s="2">
        <v>12090.52</v>
      </c>
      <c r="H17" s="2">
        <v>14048</v>
      </c>
      <c r="I17" s="2">
        <v>16312</v>
      </c>
      <c r="J17" s="2">
        <v>17378</v>
      </c>
      <c r="K17" s="2">
        <v>21837</v>
      </c>
    </row>
    <row r="18" spans="1:11" ht="14.4" x14ac:dyDescent="0.3">
      <c r="A18" s="8" t="s">
        <v>63</v>
      </c>
      <c r="B18">
        <v>2539.94</v>
      </c>
      <c r="C18">
        <v>3211.72</v>
      </c>
      <c r="D18">
        <v>4058</v>
      </c>
      <c r="E18">
        <v>4687.3599999999997</v>
      </c>
      <c r="F18">
        <v>5440.8</v>
      </c>
      <c r="G18">
        <v>6016.41</v>
      </c>
      <c r="H18">
        <v>6964</v>
      </c>
      <c r="I18">
        <v>8178</v>
      </c>
      <c r="J18">
        <v>8112</v>
      </c>
      <c r="K18">
        <v>10904</v>
      </c>
    </row>
    <row r="19" spans="1:11" ht="14.4" x14ac:dyDescent="0.3">
      <c r="A19" s="8" t="s">
        <v>64</v>
      </c>
      <c r="B19">
        <v>-414.21</v>
      </c>
      <c r="C19">
        <v>310.04000000000002</v>
      </c>
      <c r="D19"/>
      <c r="E19"/>
      <c r="F19"/>
      <c r="G19"/>
      <c r="H19">
        <v>184</v>
      </c>
      <c r="I19">
        <v>362</v>
      </c>
      <c r="J19"/>
      <c r="K19"/>
    </row>
    <row r="20" spans="1:11" x14ac:dyDescent="0.25">
      <c r="A20" s="8" t="s">
        <v>65</v>
      </c>
      <c r="B20" s="2">
        <v>79.930000000000007</v>
      </c>
      <c r="C20" s="2">
        <v>221.25</v>
      </c>
      <c r="D20" s="2">
        <v>263.52999999999997</v>
      </c>
      <c r="E20" s="2">
        <v>349.84</v>
      </c>
      <c r="F20" s="2">
        <v>433.67</v>
      </c>
      <c r="G20" s="2">
        <v>435.59</v>
      </c>
      <c r="H20" s="2">
        <v>359</v>
      </c>
      <c r="I20" s="2">
        <v>339</v>
      </c>
      <c r="J20" s="2">
        <v>291</v>
      </c>
      <c r="K20" s="2">
        <v>402</v>
      </c>
    </row>
    <row r="21" spans="1:11" x14ac:dyDescent="0.25">
      <c r="A21" s="8" t="s">
        <v>66</v>
      </c>
      <c r="B21" s="2">
        <v>237.78</v>
      </c>
      <c r="C21" s="2">
        <v>292.67</v>
      </c>
      <c r="D21" s="2">
        <v>326.44</v>
      </c>
      <c r="E21" s="2">
        <v>441.16</v>
      </c>
      <c r="F21" s="2">
        <v>455.53</v>
      </c>
      <c r="G21" s="2">
        <v>698.4</v>
      </c>
      <c r="H21" s="2">
        <v>1323</v>
      </c>
      <c r="I21" s="2">
        <v>1556</v>
      </c>
      <c r="J21" s="2">
        <v>1824</v>
      </c>
      <c r="K21" s="2">
        <v>2108</v>
      </c>
    </row>
    <row r="22" spans="1:11" x14ac:dyDescent="0.25">
      <c r="A22" s="8" t="s">
        <v>67</v>
      </c>
      <c r="B22" s="2">
        <v>501.83</v>
      </c>
      <c r="C22" s="2">
        <v>514.64</v>
      </c>
      <c r="D22" s="2">
        <v>682.96</v>
      </c>
      <c r="E22" s="2">
        <v>852.62</v>
      </c>
      <c r="F22" s="2">
        <v>948.18</v>
      </c>
      <c r="G22" s="2">
        <v>1042.8</v>
      </c>
      <c r="H22" s="2">
        <v>1434</v>
      </c>
      <c r="I22" s="2">
        <v>1627</v>
      </c>
      <c r="J22" s="2">
        <v>1713</v>
      </c>
      <c r="K22" s="2">
        <v>2095</v>
      </c>
    </row>
    <row r="23" spans="1:11" x14ac:dyDescent="0.25">
      <c r="A23" s="8" t="s">
        <v>68</v>
      </c>
      <c r="B23" s="2">
        <v>594.21</v>
      </c>
      <c r="C23" s="2">
        <v>651.55999999999995</v>
      </c>
      <c r="D23" s="2">
        <v>805.27</v>
      </c>
      <c r="E23" s="2">
        <v>915.86</v>
      </c>
      <c r="F23" s="2">
        <v>1298.6099999999999</v>
      </c>
      <c r="G23" s="2">
        <v>1469.38</v>
      </c>
      <c r="H23" s="2">
        <v>1228</v>
      </c>
      <c r="I23" s="2">
        <v>1426</v>
      </c>
      <c r="J23" s="2">
        <v>1558</v>
      </c>
      <c r="K23" s="2">
        <v>1802</v>
      </c>
    </row>
    <row r="24" spans="1:11" x14ac:dyDescent="0.25">
      <c r="A24" s="8" t="s">
        <v>69</v>
      </c>
      <c r="B24" s="2">
        <v>97.19</v>
      </c>
      <c r="C24" s="2">
        <v>126.13</v>
      </c>
      <c r="D24" s="2">
        <v>184.58</v>
      </c>
      <c r="E24" s="2">
        <v>319.67</v>
      </c>
      <c r="F24" s="2">
        <v>218.46</v>
      </c>
      <c r="G24" s="2">
        <v>129.99</v>
      </c>
      <c r="H24" s="2">
        <v>576</v>
      </c>
      <c r="I24" s="2">
        <v>634</v>
      </c>
      <c r="J24" s="2">
        <v>463</v>
      </c>
      <c r="K24" s="2">
        <v>725</v>
      </c>
    </row>
    <row r="25" spans="1:11" x14ac:dyDescent="0.25">
      <c r="A25" s="8" t="s">
        <v>7</v>
      </c>
      <c r="B25" s="2">
        <v>182.24</v>
      </c>
      <c r="C25" s="2">
        <v>137.49</v>
      </c>
      <c r="D25" s="2">
        <v>85.18</v>
      </c>
      <c r="E25" s="2">
        <v>107.37</v>
      </c>
      <c r="F25" s="2">
        <v>73.14</v>
      </c>
      <c r="G25" s="2">
        <v>53.98</v>
      </c>
      <c r="H25" s="2">
        <v>149</v>
      </c>
      <c r="I25" s="2">
        <v>415</v>
      </c>
      <c r="J25" s="2">
        <v>346</v>
      </c>
      <c r="K25" s="2">
        <v>-185</v>
      </c>
    </row>
    <row r="26" spans="1:11" x14ac:dyDescent="0.25">
      <c r="A26" s="8" t="s">
        <v>8</v>
      </c>
      <c r="B26" s="2">
        <v>214.7</v>
      </c>
      <c r="C26" s="2">
        <v>213.8</v>
      </c>
      <c r="D26" s="2">
        <v>292.38</v>
      </c>
      <c r="E26" s="2">
        <v>353.72</v>
      </c>
      <c r="F26" s="2">
        <v>406.94</v>
      </c>
      <c r="G26" s="2">
        <v>424.52</v>
      </c>
      <c r="H26" s="2">
        <v>676</v>
      </c>
      <c r="I26" s="2">
        <v>672</v>
      </c>
      <c r="J26" s="2">
        <v>675</v>
      </c>
      <c r="K26" s="2">
        <v>969</v>
      </c>
    </row>
    <row r="27" spans="1:11" ht="14.4" x14ac:dyDescent="0.3">
      <c r="A27" s="8" t="s">
        <v>9</v>
      </c>
      <c r="B27" s="2">
        <v>193.79</v>
      </c>
      <c r="C27" s="2">
        <v>312</v>
      </c>
      <c r="D27" s="2">
        <v>414.64</v>
      </c>
      <c r="E27" s="2">
        <v>428.96</v>
      </c>
      <c r="F27" s="2">
        <v>485.29</v>
      </c>
      <c r="G27" s="2">
        <v>517.04</v>
      </c>
      <c r="H27" s="2">
        <v>704</v>
      </c>
      <c r="I27" s="2">
        <v>735</v>
      </c>
      <c r="J27">
        <v>783</v>
      </c>
      <c r="K27">
        <v>963</v>
      </c>
    </row>
    <row r="28" spans="1:11" x14ac:dyDescent="0.25">
      <c r="A28" s="8" t="s">
        <v>10</v>
      </c>
      <c r="B28" s="2">
        <v>598.70000000000005</v>
      </c>
      <c r="C28" s="2">
        <v>664.44</v>
      </c>
      <c r="D28" s="2">
        <v>728.7</v>
      </c>
      <c r="E28" s="2">
        <v>943.88</v>
      </c>
      <c r="F28" s="2">
        <v>1156.54</v>
      </c>
      <c r="G28" s="2">
        <v>1410.37</v>
      </c>
      <c r="H28" s="2">
        <v>1117</v>
      </c>
      <c r="I28" s="2">
        <v>1922</v>
      </c>
      <c r="J28" s="2">
        <v>2305</v>
      </c>
      <c r="K28" s="2">
        <v>1684</v>
      </c>
    </row>
    <row r="29" spans="1:11" x14ac:dyDescent="0.25">
      <c r="A29" s="8" t="s">
        <v>11</v>
      </c>
      <c r="B29" s="2">
        <v>85.36</v>
      </c>
      <c r="C29" s="2">
        <v>73.08</v>
      </c>
      <c r="D29" s="2">
        <v>128.01</v>
      </c>
      <c r="E29" s="2">
        <v>203.17</v>
      </c>
      <c r="F29" s="2">
        <v>221.69</v>
      </c>
      <c r="G29" s="2">
        <v>244.01</v>
      </c>
      <c r="H29" s="2">
        <v>165</v>
      </c>
      <c r="I29" s="2">
        <v>189</v>
      </c>
      <c r="J29" s="2">
        <v>275</v>
      </c>
      <c r="K29" s="2">
        <v>165</v>
      </c>
    </row>
    <row r="30" spans="1:11" x14ac:dyDescent="0.25">
      <c r="A30" s="8" t="s">
        <v>12</v>
      </c>
      <c r="B30" s="2">
        <v>526.16</v>
      </c>
      <c r="C30" s="2">
        <v>557.62</v>
      </c>
      <c r="D30" s="2">
        <v>555.54999999999995</v>
      </c>
      <c r="E30" s="2">
        <v>774.6</v>
      </c>
      <c r="F30" s="2">
        <v>949.79</v>
      </c>
      <c r="G30" s="2">
        <v>1144.03</v>
      </c>
      <c r="H30" s="2">
        <v>940</v>
      </c>
      <c r="I30" s="2">
        <v>1727</v>
      </c>
      <c r="J30" s="2">
        <v>2022</v>
      </c>
      <c r="K30" s="2">
        <v>1447</v>
      </c>
    </row>
    <row r="31" spans="1:11" x14ac:dyDescent="0.25">
      <c r="A31" s="8" t="s">
        <v>53</v>
      </c>
      <c r="B31" s="2">
        <v>87.91</v>
      </c>
      <c r="C31" s="2">
        <v>92.36</v>
      </c>
      <c r="D31" s="2">
        <v>115.45</v>
      </c>
      <c r="E31" s="2">
        <v>110.65</v>
      </c>
      <c r="F31" s="2">
        <v>171.44</v>
      </c>
      <c r="G31" s="2">
        <v>214.3</v>
      </c>
      <c r="H31" s="2">
        <v>215</v>
      </c>
      <c r="I31" s="2">
        <v>353.5</v>
      </c>
      <c r="J31" s="2">
        <v>408</v>
      </c>
      <c r="K31" s="2">
        <v>408</v>
      </c>
    </row>
    <row r="40" spans="1:11" x14ac:dyDescent="0.25">
      <c r="A40" s="5" t="s">
        <v>33</v>
      </c>
    </row>
    <row r="41" spans="1:11" s="15" customFormat="1" x14ac:dyDescent="0.25">
      <c r="A41" s="14" t="s">
        <v>32</v>
      </c>
      <c r="B41" s="3">
        <v>43008</v>
      </c>
      <c r="C41" s="3">
        <v>43100</v>
      </c>
      <c r="D41" s="3">
        <v>43190</v>
      </c>
      <c r="E41" s="3">
        <v>43281</v>
      </c>
      <c r="F41" s="3">
        <v>43373</v>
      </c>
      <c r="G41" s="3">
        <v>43465</v>
      </c>
      <c r="H41" s="3">
        <v>43555</v>
      </c>
      <c r="I41" s="3">
        <v>43646</v>
      </c>
      <c r="J41" s="3">
        <v>43738</v>
      </c>
      <c r="K41" s="3">
        <v>43830</v>
      </c>
    </row>
    <row r="42" spans="1:11" x14ac:dyDescent="0.25">
      <c r="A42" s="8" t="s">
        <v>4</v>
      </c>
      <c r="B42" s="2">
        <v>3770</v>
      </c>
      <c r="C42" s="2">
        <v>4194</v>
      </c>
      <c r="D42" s="2">
        <v>5691</v>
      </c>
      <c r="E42" s="2">
        <v>4134</v>
      </c>
      <c r="F42" s="2">
        <v>4257</v>
      </c>
      <c r="G42" s="2">
        <v>4921</v>
      </c>
      <c r="H42" s="2">
        <v>8525</v>
      </c>
      <c r="I42" s="2">
        <v>7906</v>
      </c>
      <c r="J42" s="2">
        <v>7817</v>
      </c>
      <c r="K42" s="2">
        <v>8892</v>
      </c>
    </row>
    <row r="43" spans="1:11" x14ac:dyDescent="0.25">
      <c r="A43" s="8" t="s">
        <v>5</v>
      </c>
      <c r="B43" s="2">
        <v>3093</v>
      </c>
      <c r="C43" s="2">
        <v>3478</v>
      </c>
      <c r="D43" s="2">
        <v>4270</v>
      </c>
      <c r="E43" s="2">
        <v>3337</v>
      </c>
      <c r="F43" s="2">
        <v>3470</v>
      </c>
      <c r="G43" s="2">
        <v>3983</v>
      </c>
      <c r="H43" s="2">
        <v>7234</v>
      </c>
      <c r="I43" s="2">
        <v>6666</v>
      </c>
      <c r="J43" s="2">
        <v>6370</v>
      </c>
      <c r="K43" s="2">
        <v>6790</v>
      </c>
    </row>
    <row r="44" spans="1:11" x14ac:dyDescent="0.25">
      <c r="A44" s="8" t="s">
        <v>7</v>
      </c>
      <c r="B44" s="2">
        <v>45</v>
      </c>
      <c r="C44" s="2">
        <v>112</v>
      </c>
      <c r="D44" s="2">
        <v>112</v>
      </c>
      <c r="E44" s="2">
        <v>119</v>
      </c>
      <c r="F44" s="2">
        <v>-25</v>
      </c>
      <c r="G44" s="2">
        <v>-54</v>
      </c>
      <c r="H44" s="2">
        <v>-251</v>
      </c>
      <c r="I44" s="2">
        <v>-33</v>
      </c>
      <c r="J44" s="2">
        <v>-281</v>
      </c>
      <c r="K44" s="2">
        <v>-55</v>
      </c>
    </row>
    <row r="45" spans="1:11" x14ac:dyDescent="0.25">
      <c r="A45" s="8" t="s">
        <v>8</v>
      </c>
      <c r="B45" s="2">
        <v>165</v>
      </c>
      <c r="C45" s="2">
        <v>169</v>
      </c>
      <c r="D45" s="2">
        <v>184</v>
      </c>
      <c r="E45" s="2">
        <v>175</v>
      </c>
      <c r="F45" s="2">
        <v>181</v>
      </c>
      <c r="G45" s="2">
        <v>182</v>
      </c>
      <c r="H45" s="2">
        <v>431</v>
      </c>
      <c r="I45" s="2">
        <v>577</v>
      </c>
      <c r="J45" s="2">
        <v>476</v>
      </c>
      <c r="K45" s="2">
        <v>495</v>
      </c>
    </row>
    <row r="46" spans="1:11" ht="14.4" x14ac:dyDescent="0.3">
      <c r="A46" s="8" t="s">
        <v>9</v>
      </c>
      <c r="B46">
        <v>182</v>
      </c>
      <c r="C46">
        <v>111</v>
      </c>
      <c r="D46">
        <v>410</v>
      </c>
      <c r="E46">
        <v>175</v>
      </c>
      <c r="F46">
        <v>181</v>
      </c>
      <c r="G46">
        <v>202</v>
      </c>
      <c r="H46">
        <v>405</v>
      </c>
      <c r="I46">
        <v>398</v>
      </c>
      <c r="J46">
        <v>381</v>
      </c>
      <c r="K46">
        <v>515</v>
      </c>
    </row>
    <row r="47" spans="1:11" x14ac:dyDescent="0.25">
      <c r="A47" s="8" t="s">
        <v>10</v>
      </c>
      <c r="B47" s="2">
        <v>375</v>
      </c>
      <c r="C47" s="2">
        <v>548</v>
      </c>
      <c r="D47" s="2">
        <v>939</v>
      </c>
      <c r="E47" s="2">
        <v>566</v>
      </c>
      <c r="F47" s="2">
        <v>400</v>
      </c>
      <c r="G47" s="2">
        <v>500</v>
      </c>
      <c r="H47" s="2">
        <v>204</v>
      </c>
      <c r="I47" s="2">
        <v>232</v>
      </c>
      <c r="J47" s="2">
        <v>309</v>
      </c>
      <c r="K47" s="2">
        <v>1037</v>
      </c>
    </row>
    <row r="48" spans="1:11" x14ac:dyDescent="0.25">
      <c r="A48" s="8" t="s">
        <v>11</v>
      </c>
      <c r="B48" s="2">
        <v>75</v>
      </c>
      <c r="C48" s="2">
        <v>-14</v>
      </c>
      <c r="D48" s="2">
        <v>166</v>
      </c>
      <c r="E48" s="2">
        <v>52</v>
      </c>
      <c r="F48" s="2">
        <v>116</v>
      </c>
      <c r="G48" s="2">
        <v>28</v>
      </c>
      <c r="H48" s="2">
        <v>-31</v>
      </c>
      <c r="I48" s="2">
        <v>12</v>
      </c>
      <c r="J48" s="2">
        <v>99</v>
      </c>
      <c r="K48" s="2">
        <v>199</v>
      </c>
    </row>
    <row r="49" spans="1:11" x14ac:dyDescent="0.25">
      <c r="A49" s="8" t="s">
        <v>12</v>
      </c>
      <c r="B49" s="2">
        <v>237</v>
      </c>
      <c r="C49" s="2">
        <v>574</v>
      </c>
      <c r="D49" s="2">
        <v>736</v>
      </c>
      <c r="E49" s="2">
        <v>510</v>
      </c>
      <c r="F49" s="2">
        <v>270</v>
      </c>
      <c r="G49" s="2">
        <v>461</v>
      </c>
      <c r="H49" s="2">
        <v>206</v>
      </c>
      <c r="I49" s="2">
        <v>178</v>
      </c>
      <c r="J49" s="2">
        <v>166</v>
      </c>
      <c r="K49" s="2">
        <v>701</v>
      </c>
    </row>
    <row r="50" spans="1:11" x14ac:dyDescent="0.25">
      <c r="A50" s="8" t="s">
        <v>6</v>
      </c>
      <c r="B50" s="2">
        <v>677</v>
      </c>
      <c r="C50" s="2">
        <v>716</v>
      </c>
      <c r="D50" s="2">
        <v>1421</v>
      </c>
      <c r="E50" s="2">
        <v>797</v>
      </c>
      <c r="F50" s="2">
        <v>787</v>
      </c>
      <c r="G50" s="2">
        <v>938</v>
      </c>
      <c r="H50" s="2">
        <v>1291</v>
      </c>
      <c r="I50" s="2">
        <v>1240</v>
      </c>
      <c r="J50" s="2">
        <v>1447</v>
      </c>
      <c r="K50" s="2">
        <v>2102</v>
      </c>
    </row>
    <row r="55" spans="1:11" x14ac:dyDescent="0.25">
      <c r="A55" s="5" t="s">
        <v>34</v>
      </c>
    </row>
    <row r="56" spans="1:11" s="15" customFormat="1" x14ac:dyDescent="0.25">
      <c r="A56" s="14" t="s">
        <v>32</v>
      </c>
      <c r="B56" s="3">
        <v>40268</v>
      </c>
      <c r="C56" s="3">
        <v>40633</v>
      </c>
      <c r="D56" s="3">
        <v>40999</v>
      </c>
      <c r="E56" s="3">
        <v>41364</v>
      </c>
      <c r="F56" s="3">
        <v>41729</v>
      </c>
      <c r="G56" s="3">
        <v>42094</v>
      </c>
      <c r="H56" s="3">
        <v>42460</v>
      </c>
      <c r="I56" s="3">
        <v>42825</v>
      </c>
      <c r="J56" s="3">
        <v>43190</v>
      </c>
      <c r="K56" s="3">
        <v>43555</v>
      </c>
    </row>
    <row r="57" spans="1:11" x14ac:dyDescent="0.25">
      <c r="A57" s="8" t="s">
        <v>18</v>
      </c>
      <c r="B57" s="2">
        <v>87.91</v>
      </c>
      <c r="C57" s="2">
        <v>92.36</v>
      </c>
      <c r="D57" s="2">
        <v>92.36</v>
      </c>
      <c r="E57" s="2">
        <v>88.52</v>
      </c>
      <c r="F57" s="2">
        <v>85.72</v>
      </c>
      <c r="G57" s="2">
        <v>85.72</v>
      </c>
      <c r="H57" s="2">
        <v>86</v>
      </c>
      <c r="I57" s="2">
        <v>101</v>
      </c>
      <c r="J57" s="2">
        <v>102</v>
      </c>
      <c r="K57" s="2">
        <v>102</v>
      </c>
    </row>
    <row r="58" spans="1:11" x14ac:dyDescent="0.25">
      <c r="A58" s="8" t="s">
        <v>19</v>
      </c>
      <c r="B58" s="2">
        <v>2903.9</v>
      </c>
      <c r="C58" s="2">
        <v>3633.69</v>
      </c>
      <c r="D58" s="2">
        <v>4080.75</v>
      </c>
      <c r="E58" s="2">
        <v>4556.7</v>
      </c>
      <c r="F58" s="2">
        <v>5161.7</v>
      </c>
      <c r="G58" s="2">
        <v>5774.61</v>
      </c>
      <c r="H58" s="2">
        <v>2006</v>
      </c>
      <c r="I58" s="2">
        <v>7214</v>
      </c>
      <c r="J58" s="2">
        <v>9067</v>
      </c>
      <c r="K58" s="2">
        <v>14543</v>
      </c>
    </row>
    <row r="59" spans="1:11" ht="14.4" x14ac:dyDescent="0.3">
      <c r="A59" s="8" t="s">
        <v>54</v>
      </c>
      <c r="B59">
        <v>2419.3000000000002</v>
      </c>
      <c r="C59">
        <v>2678.67</v>
      </c>
      <c r="D59">
        <v>3389.11</v>
      </c>
      <c r="E59">
        <v>4203.32</v>
      </c>
      <c r="F59">
        <v>3349.49</v>
      </c>
      <c r="G59">
        <v>3280.59</v>
      </c>
      <c r="H59">
        <v>5258</v>
      </c>
      <c r="I59">
        <v>6361</v>
      </c>
      <c r="J59">
        <v>6638</v>
      </c>
      <c r="K59">
        <v>29140</v>
      </c>
    </row>
    <row r="60" spans="1:11" x14ac:dyDescent="0.25">
      <c r="A60" s="8" t="s">
        <v>55</v>
      </c>
      <c r="B60" s="2">
        <v>1569.48</v>
      </c>
      <c r="C60" s="2">
        <v>1890.17</v>
      </c>
      <c r="D60" s="2">
        <v>2831.66</v>
      </c>
      <c r="E60" s="2">
        <v>3604.52</v>
      </c>
      <c r="F60" s="2">
        <v>4261.54</v>
      </c>
      <c r="G60" s="2">
        <v>5317.01</v>
      </c>
      <c r="H60" s="2">
        <v>9638</v>
      </c>
      <c r="I60" s="2">
        <v>6705</v>
      </c>
      <c r="J60" s="2">
        <v>7236</v>
      </c>
      <c r="K60" s="2">
        <v>19263</v>
      </c>
    </row>
    <row r="61" spans="1:11" s="5" customFormat="1" x14ac:dyDescent="0.25">
      <c r="A61" s="5" t="s">
        <v>20</v>
      </c>
      <c r="B61" s="2">
        <v>6980.59</v>
      </c>
      <c r="C61" s="2">
        <v>8294.89</v>
      </c>
      <c r="D61" s="2">
        <v>10393.879999999999</v>
      </c>
      <c r="E61" s="2">
        <v>12453.06</v>
      </c>
      <c r="F61" s="2">
        <v>12858.45</v>
      </c>
      <c r="G61" s="2">
        <v>14457.93</v>
      </c>
      <c r="H61" s="2">
        <v>16988</v>
      </c>
      <c r="I61" s="2">
        <v>20381</v>
      </c>
      <c r="J61" s="2">
        <v>23043</v>
      </c>
      <c r="K61" s="2">
        <v>63048</v>
      </c>
    </row>
    <row r="62" spans="1:11" x14ac:dyDescent="0.25">
      <c r="A62" s="8" t="s">
        <v>21</v>
      </c>
      <c r="B62" s="2">
        <v>1772.27</v>
      </c>
      <c r="C62" s="2">
        <v>2320.85</v>
      </c>
      <c r="D62" s="2">
        <v>3222.94</v>
      </c>
      <c r="E62" s="2">
        <v>3489.21</v>
      </c>
      <c r="F62" s="2">
        <v>3820.93</v>
      </c>
      <c r="G62" s="2">
        <v>4030.8</v>
      </c>
      <c r="H62" s="2">
        <v>3862</v>
      </c>
      <c r="I62" s="2">
        <v>4071</v>
      </c>
      <c r="J62" s="2">
        <v>4437</v>
      </c>
      <c r="K62" s="2">
        <v>31901</v>
      </c>
    </row>
    <row r="63" spans="1:11" x14ac:dyDescent="0.25">
      <c r="A63" s="8" t="s">
        <v>22</v>
      </c>
      <c r="B63" s="2">
        <v>40.549999999999997</v>
      </c>
      <c r="C63" s="2">
        <v>56.76</v>
      </c>
      <c r="D63" s="2">
        <v>305.64999999999998</v>
      </c>
      <c r="E63" s="2">
        <v>377.62</v>
      </c>
      <c r="F63" s="2">
        <v>227.77</v>
      </c>
      <c r="G63" s="2">
        <v>583.1</v>
      </c>
      <c r="H63" s="2">
        <v>484</v>
      </c>
      <c r="I63" s="2">
        <v>792</v>
      </c>
      <c r="J63" s="2">
        <v>1319</v>
      </c>
      <c r="K63" s="2">
        <v>1783</v>
      </c>
    </row>
    <row r="64" spans="1:11" ht="14.4" x14ac:dyDescent="0.3">
      <c r="A64" s="8" t="s">
        <v>23</v>
      </c>
      <c r="B64" s="2">
        <v>761.18</v>
      </c>
      <c r="C64">
        <v>823.18</v>
      </c>
      <c r="D64" s="2">
        <v>794.52</v>
      </c>
      <c r="E64" s="2">
        <v>1025.1500000000001</v>
      </c>
      <c r="F64" s="2">
        <v>737.28</v>
      </c>
      <c r="G64" s="2">
        <v>763.63</v>
      </c>
      <c r="H64" s="2">
        <v>335</v>
      </c>
      <c r="I64" s="2">
        <v>378</v>
      </c>
      <c r="J64" s="2">
        <v>1034</v>
      </c>
      <c r="K64" s="2">
        <v>708</v>
      </c>
    </row>
    <row r="65" spans="1:11" x14ac:dyDescent="0.25">
      <c r="A65" s="8" t="s">
        <v>56</v>
      </c>
      <c r="B65" s="2">
        <v>4406.59</v>
      </c>
      <c r="C65" s="2">
        <v>5094.1000000000004</v>
      </c>
      <c r="D65" s="2">
        <v>6070.77</v>
      </c>
      <c r="E65" s="2">
        <v>7561.08</v>
      </c>
      <c r="F65" s="2">
        <v>8072.47</v>
      </c>
      <c r="G65" s="2">
        <v>9080.4</v>
      </c>
      <c r="H65" s="2">
        <v>12307</v>
      </c>
      <c r="I65" s="2">
        <v>15140</v>
      </c>
      <c r="J65" s="2">
        <v>16253</v>
      </c>
      <c r="K65" s="2">
        <v>28656</v>
      </c>
    </row>
    <row r="66" spans="1:11" s="5" customFormat="1" x14ac:dyDescent="0.25">
      <c r="A66" s="5" t="s">
        <v>20</v>
      </c>
      <c r="B66" s="2">
        <v>6980.59</v>
      </c>
      <c r="C66" s="2">
        <v>8294.89</v>
      </c>
      <c r="D66" s="2">
        <v>10393.879999999999</v>
      </c>
      <c r="E66" s="2">
        <v>12453.06</v>
      </c>
      <c r="F66" s="2">
        <v>12858.45</v>
      </c>
      <c r="G66" s="2">
        <v>14457.93</v>
      </c>
      <c r="H66" s="2">
        <v>16988</v>
      </c>
      <c r="I66" s="2">
        <v>20381</v>
      </c>
      <c r="J66" s="2">
        <v>23043</v>
      </c>
      <c r="K66" s="2">
        <v>63048</v>
      </c>
    </row>
    <row r="67" spans="1:11" x14ac:dyDescent="0.25">
      <c r="A67" s="8" t="s">
        <v>61</v>
      </c>
      <c r="B67" s="2">
        <v>1213.48</v>
      </c>
      <c r="C67" s="2">
        <v>1479.48</v>
      </c>
      <c r="D67" s="2">
        <v>2445.34</v>
      </c>
      <c r="E67" s="2">
        <v>2684.99</v>
      </c>
      <c r="F67" s="2">
        <v>3208.46</v>
      </c>
      <c r="G67" s="2">
        <v>3793.04</v>
      </c>
      <c r="H67" s="2">
        <v>5100</v>
      </c>
      <c r="I67" s="2">
        <v>5656</v>
      </c>
      <c r="J67" s="2">
        <v>6056</v>
      </c>
      <c r="K67" s="2">
        <v>11812</v>
      </c>
    </row>
    <row r="68" spans="1:11" ht="14.4" x14ac:dyDescent="0.3">
      <c r="A68" s="8" t="s">
        <v>39</v>
      </c>
      <c r="B68">
        <v>1008.37</v>
      </c>
      <c r="C68">
        <v>1405.54</v>
      </c>
      <c r="D68">
        <v>1877.86</v>
      </c>
      <c r="E68">
        <v>2068.6999999999998</v>
      </c>
      <c r="F68">
        <v>2480.0700000000002</v>
      </c>
      <c r="G68">
        <v>2937.6</v>
      </c>
      <c r="H68">
        <v>3787</v>
      </c>
      <c r="I68">
        <v>4156</v>
      </c>
      <c r="J68">
        <v>4538</v>
      </c>
      <c r="K68">
        <v>9270</v>
      </c>
    </row>
    <row r="69" spans="1:11" x14ac:dyDescent="0.25">
      <c r="A69" s="8" t="s">
        <v>70</v>
      </c>
      <c r="B69" s="2">
        <v>1577.77</v>
      </c>
      <c r="C69" s="2">
        <v>1565.86</v>
      </c>
      <c r="D69" s="2">
        <v>700.18</v>
      </c>
      <c r="E69" s="2">
        <v>1548.23</v>
      </c>
      <c r="F69" s="2">
        <v>1022.78</v>
      </c>
      <c r="G69" s="2">
        <v>1009.81</v>
      </c>
      <c r="H69" s="2">
        <v>1189</v>
      </c>
      <c r="I69" s="2">
        <v>2895</v>
      </c>
      <c r="J69" s="2">
        <v>2894</v>
      </c>
      <c r="K69" s="2">
        <v>2851</v>
      </c>
    </row>
    <row r="70" spans="1:11" x14ac:dyDescent="0.25">
      <c r="A70" s="8" t="s">
        <v>57</v>
      </c>
      <c r="B70" s="2">
        <v>439563568</v>
      </c>
      <c r="C70" s="2">
        <v>461804274</v>
      </c>
      <c r="D70" s="2">
        <v>461804274</v>
      </c>
      <c r="E70" s="2">
        <v>442604274</v>
      </c>
      <c r="F70" s="2">
        <v>428604274</v>
      </c>
      <c r="G70" s="2">
        <v>428604274</v>
      </c>
      <c r="H70" s="2">
        <v>428604274</v>
      </c>
      <c r="I70" s="2">
        <v>507017118</v>
      </c>
      <c r="J70" s="2">
        <v>509333081</v>
      </c>
      <c r="K70" s="2">
        <v>509333081</v>
      </c>
    </row>
    <row r="71" spans="1:11" ht="14.4" x14ac:dyDescent="0.3">
      <c r="A71" s="8" t="s">
        <v>58</v>
      </c>
      <c r="G71"/>
      <c r="H71"/>
      <c r="K71"/>
    </row>
    <row r="72" spans="1:11" x14ac:dyDescent="0.25">
      <c r="A72" s="8" t="s">
        <v>71</v>
      </c>
      <c r="B72" s="2">
        <v>2</v>
      </c>
      <c r="C72" s="2">
        <v>2</v>
      </c>
      <c r="D72" s="2">
        <v>2</v>
      </c>
      <c r="E72" s="2">
        <v>2</v>
      </c>
      <c r="F72" s="2">
        <v>2</v>
      </c>
      <c r="G72" s="2">
        <v>2</v>
      </c>
      <c r="H72" s="2">
        <v>2</v>
      </c>
      <c r="I72" s="2">
        <v>2</v>
      </c>
      <c r="J72" s="2">
        <v>2</v>
      </c>
      <c r="K72" s="2">
        <v>2</v>
      </c>
    </row>
    <row r="80" spans="1:11" x14ac:dyDescent="0.25">
      <c r="A80" s="5" t="s">
        <v>35</v>
      </c>
    </row>
    <row r="81" spans="1:12" s="15" customFormat="1" x14ac:dyDescent="0.25">
      <c r="A81" s="14" t="s">
        <v>32</v>
      </c>
      <c r="B81" s="3">
        <v>40268</v>
      </c>
      <c r="C81" s="3">
        <v>40633</v>
      </c>
      <c r="D81" s="3">
        <v>40999</v>
      </c>
      <c r="E81" s="3">
        <v>41364</v>
      </c>
      <c r="F81" s="3">
        <v>41729</v>
      </c>
      <c r="G81" s="3">
        <v>42094</v>
      </c>
      <c r="H81" s="3">
        <v>42460</v>
      </c>
      <c r="I81" s="3">
        <v>42825</v>
      </c>
      <c r="J81" s="3">
        <v>43190</v>
      </c>
      <c r="K81" s="3">
        <v>43555</v>
      </c>
      <c r="L81" s="3"/>
    </row>
    <row r="82" spans="1:12" s="5" customFormat="1" x14ac:dyDescent="0.25">
      <c r="A82" s="8" t="s">
        <v>26</v>
      </c>
      <c r="B82" s="2">
        <v>1293.5899999999999</v>
      </c>
      <c r="C82" s="2">
        <v>814.82</v>
      </c>
      <c r="D82" s="2">
        <v>161.96</v>
      </c>
      <c r="E82" s="2">
        <v>1699.23</v>
      </c>
      <c r="F82" s="2">
        <v>1440.8</v>
      </c>
      <c r="G82" s="2">
        <v>1409.02</v>
      </c>
      <c r="H82" s="2">
        <v>1396</v>
      </c>
      <c r="I82" s="2">
        <v>2585</v>
      </c>
      <c r="J82" s="2">
        <v>2839</v>
      </c>
      <c r="K82" s="2">
        <v>2356</v>
      </c>
    </row>
    <row r="83" spans="1:12" x14ac:dyDescent="0.25">
      <c r="A83" s="8" t="s">
        <v>27</v>
      </c>
      <c r="B83" s="2">
        <v>-241.01</v>
      </c>
      <c r="C83" s="2">
        <v>-895.07</v>
      </c>
      <c r="D83" s="2">
        <v>-679.56</v>
      </c>
      <c r="E83" s="2">
        <v>-764.91</v>
      </c>
      <c r="F83" s="2">
        <v>-427.46</v>
      </c>
      <c r="G83" s="2">
        <v>-462.6</v>
      </c>
      <c r="H83" s="2">
        <v>-1734</v>
      </c>
      <c r="I83" s="2">
        <v>-1022</v>
      </c>
      <c r="J83" s="2">
        <v>-2059</v>
      </c>
      <c r="K83" s="2">
        <v>-31282</v>
      </c>
    </row>
    <row r="84" spans="1:12" x14ac:dyDescent="0.25">
      <c r="A84" s="8" t="s">
        <v>28</v>
      </c>
      <c r="B84" s="2">
        <v>11.36</v>
      </c>
      <c r="C84" s="2">
        <v>-16.7</v>
      </c>
      <c r="D84" s="2">
        <v>-178.2</v>
      </c>
      <c r="E84" s="2">
        <v>-71.989999999999995</v>
      </c>
      <c r="F84" s="2">
        <v>-1680</v>
      </c>
      <c r="G84" s="2">
        <v>-991.32</v>
      </c>
      <c r="H84" s="2">
        <v>469</v>
      </c>
      <c r="I84" s="2">
        <v>140</v>
      </c>
      <c r="J84" s="2">
        <v>-801</v>
      </c>
      <c r="K84" s="2">
        <v>28893</v>
      </c>
    </row>
    <row r="85" spans="1:12" s="5" customFormat="1" x14ac:dyDescent="0.25">
      <c r="A85" s="8" t="s">
        <v>29</v>
      </c>
      <c r="B85" s="2">
        <v>1063.94</v>
      </c>
      <c r="C85" s="2">
        <v>-96.95</v>
      </c>
      <c r="D85" s="2">
        <v>-695.8</v>
      </c>
      <c r="E85" s="2">
        <v>862.33</v>
      </c>
      <c r="F85" s="2">
        <v>-666.66</v>
      </c>
      <c r="G85" s="2">
        <v>-44.9</v>
      </c>
      <c r="H85" s="2">
        <v>131</v>
      </c>
      <c r="I85" s="2">
        <v>1703</v>
      </c>
      <c r="J85" s="2">
        <v>-21</v>
      </c>
      <c r="K85" s="2">
        <v>-33</v>
      </c>
    </row>
    <row r="90" spans="1:12" s="5" customFormat="1" x14ac:dyDescent="0.25">
      <c r="A90" s="5" t="s">
        <v>60</v>
      </c>
      <c r="B90" s="2">
        <v>99.47</v>
      </c>
      <c r="C90" s="2">
        <v>99.63</v>
      </c>
      <c r="D90" s="2">
        <v>86.73</v>
      </c>
      <c r="E90" s="2">
        <v>78.27</v>
      </c>
      <c r="F90" s="2">
        <v>122.97</v>
      </c>
      <c r="G90" s="2">
        <v>294.77</v>
      </c>
      <c r="H90" s="2">
        <v>318.47000000000003</v>
      </c>
      <c r="I90" s="2">
        <v>484.6</v>
      </c>
      <c r="J90" s="2">
        <v>486.83</v>
      </c>
      <c r="K90" s="2">
        <v>639.23</v>
      </c>
    </row>
    <row r="92" spans="1:12" s="5" customFormat="1" x14ac:dyDescent="0.25">
      <c r="A92" s="5" t="s">
        <v>59</v>
      </c>
    </row>
    <row r="93" spans="1:12" x14ac:dyDescent="0.25">
      <c r="A93" s="8" t="s">
        <v>72</v>
      </c>
      <c r="B93" s="16">
        <f>IF($B7&gt;0,(B70*B72/$B7)+SUM(C71:$K71),0)/10000000</f>
        <v>43.956356800000002</v>
      </c>
      <c r="C93" s="16">
        <f>IF($B7&gt;0,(C70*C72/$B7)+SUM(D71:$K71),0)/10000000</f>
        <v>46.180427399999999</v>
      </c>
      <c r="D93" s="16">
        <f>IF($B7&gt;0,(D70*D72/$B7)+SUM(E71:$K71),0)/10000000</f>
        <v>46.180427399999999</v>
      </c>
      <c r="E93" s="16">
        <f>IF($B7&gt;0,(E70*E72/$B7)+SUM(F71:$K71),0)/10000000</f>
        <v>44.260427399999998</v>
      </c>
      <c r="F93" s="16">
        <f>IF($B7&gt;0,(F70*F72/$B7)+SUM(G71:$K71),0)/10000000</f>
        <v>42.860427399999999</v>
      </c>
      <c r="G93" s="16">
        <f>IF($B7&gt;0,(G70*G72/$B7)+SUM(H71:$K71),0)/10000000</f>
        <v>42.860427399999999</v>
      </c>
      <c r="H93" s="16">
        <f>IF($B7&gt;0,(H70*H72/$B7)+SUM(I71:$K71),0)/10000000</f>
        <v>42.860427399999999</v>
      </c>
      <c r="I93" s="16">
        <f>IF($B7&gt;0,(I70*I72/$B7)+SUM(J71:$K71),0)/10000000</f>
        <v>50.701711799999998</v>
      </c>
      <c r="J93" s="16">
        <f>IF($B7&gt;0,(J70*J72/$B7)+SUM(K71:$K71),0)/10000000</f>
        <v>50.933308099999998</v>
      </c>
      <c r="K93" s="16">
        <f>IF($B7&gt;0,(K70*K72/$B7),0)/10000000</f>
        <v>50.933308099999998</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2B96-D0DA-4AA6-93E6-84124E1A00D8}">
  <dimension ref="A1:F62"/>
  <sheetViews>
    <sheetView tabSelected="1" workbookViewId="0">
      <selection activeCell="E22" sqref="E22"/>
    </sheetView>
  </sheetViews>
  <sheetFormatPr defaultColWidth="9.21875" defaultRowHeight="13.8" x14ac:dyDescent="0.3"/>
  <cols>
    <col min="1" max="1" width="34.5546875" style="121" bestFit="1" customWidth="1"/>
    <col min="2" max="2" width="16.109375" style="121" customWidth="1"/>
    <col min="3" max="3" width="10.6640625" style="121" customWidth="1"/>
    <col min="4" max="5" width="9.21875" style="121"/>
    <col min="6" max="6" width="34.44140625" style="121" customWidth="1"/>
    <col min="7" max="7" width="26.5546875" style="121" customWidth="1"/>
    <col min="8" max="8" width="29.44140625" style="121" customWidth="1"/>
    <col min="9" max="16384" width="9.21875" style="121"/>
  </cols>
  <sheetData>
    <row r="1" spans="1:6" x14ac:dyDescent="0.3">
      <c r="A1" s="308" t="s">
        <v>123</v>
      </c>
      <c r="B1" s="309"/>
      <c r="F1" s="227" t="s">
        <v>180</v>
      </c>
    </row>
    <row r="2" spans="1:6" x14ac:dyDescent="0.3">
      <c r="A2" s="122" t="s">
        <v>124</v>
      </c>
      <c r="B2" s="123" t="s">
        <v>125</v>
      </c>
      <c r="F2" s="121" t="s">
        <v>284</v>
      </c>
    </row>
    <row r="3" spans="1:6" ht="13.05" customHeight="1" x14ac:dyDescent="0.3">
      <c r="A3" s="30" t="s">
        <v>126</v>
      </c>
      <c r="B3" s="124" t="str">
        <f>'Data Sheet'!B1</f>
        <v>UPL LTD</v>
      </c>
      <c r="F3" s="121" t="s">
        <v>285</v>
      </c>
    </row>
    <row r="4" spans="1:6" ht="14.55" customHeight="1" x14ac:dyDescent="0.3">
      <c r="A4" s="30" t="s">
        <v>127</v>
      </c>
      <c r="B4" s="125">
        <v>360</v>
      </c>
      <c r="F4" s="121" t="s">
        <v>286</v>
      </c>
    </row>
    <row r="5" spans="1:6" ht="14.55" customHeight="1" x14ac:dyDescent="0.3">
      <c r="A5" s="30" t="s">
        <v>128</v>
      </c>
      <c r="B5" s="126">
        <f>'Data Sheet'!B7</f>
        <v>2</v>
      </c>
      <c r="F5" s="121" t="s">
        <v>290</v>
      </c>
    </row>
    <row r="6" spans="1:6" ht="14.55" customHeight="1" x14ac:dyDescent="0.3">
      <c r="A6" s="30" t="s">
        <v>129</v>
      </c>
      <c r="B6" s="126">
        <f>'Data Sheet'!B6</f>
        <v>76.404547077728836</v>
      </c>
    </row>
    <row r="7" spans="1:6" x14ac:dyDescent="0.3">
      <c r="A7" s="30" t="s">
        <v>130</v>
      </c>
      <c r="B7" s="125">
        <f>B4*B6</f>
        <v>27505.636947982381</v>
      </c>
    </row>
    <row r="8" spans="1:6" ht="14.4" thickBot="1" x14ac:dyDescent="0.35"/>
    <row r="9" spans="1:6" ht="13.05" customHeight="1" x14ac:dyDescent="0.3">
      <c r="A9" s="308" t="s">
        <v>134</v>
      </c>
      <c r="B9" s="309"/>
      <c r="F9" s="227" t="s">
        <v>181</v>
      </c>
    </row>
    <row r="10" spans="1:6" ht="14.55" customHeight="1" x14ac:dyDescent="0.3">
      <c r="A10" s="122" t="s">
        <v>124</v>
      </c>
      <c r="B10" s="123" t="s">
        <v>125</v>
      </c>
      <c r="F10" s="121" t="s">
        <v>291</v>
      </c>
    </row>
    <row r="11" spans="1:6" ht="14.55" customHeight="1" x14ac:dyDescent="0.3">
      <c r="A11" s="30" t="s">
        <v>135</v>
      </c>
      <c r="B11" s="127">
        <f>'Profit &amp; Loss'!B39</f>
        <v>0.17061717291264822</v>
      </c>
      <c r="F11" s="121" t="s">
        <v>297</v>
      </c>
    </row>
    <row r="12" spans="1:6" ht="14.55" customHeight="1" x14ac:dyDescent="0.3">
      <c r="A12" s="30" t="s">
        <v>136</v>
      </c>
      <c r="B12" s="127">
        <f>'Profit &amp; Loss'!B40</f>
        <v>0.12176955152571978</v>
      </c>
    </row>
    <row r="13" spans="1:6" ht="14.55" customHeight="1" x14ac:dyDescent="0.3">
      <c r="A13" s="30" t="s">
        <v>131</v>
      </c>
      <c r="B13" s="127">
        <f>('Data Sheet'!K30/'Data Sheet'!B30)^(1/9)-1</f>
        <v>0.11896562406103595</v>
      </c>
    </row>
    <row r="14" spans="1:6" ht="14.55" customHeight="1" x14ac:dyDescent="0.3">
      <c r="A14" s="30" t="s">
        <v>132</v>
      </c>
      <c r="B14" s="128">
        <f>AVERAGE('Balance Sheet'!G29:K29)</f>
        <v>1.331296452083834</v>
      </c>
    </row>
    <row r="15" spans="1:6" ht="14.55" customHeight="1" x14ac:dyDescent="0.3">
      <c r="A15" s="30" t="s">
        <v>133</v>
      </c>
      <c r="B15" s="129">
        <f>AVERAGE('Balance Sheet'!G30:K30)</f>
        <v>0.2432246620877685</v>
      </c>
      <c r="F15" s="227" t="s">
        <v>182</v>
      </c>
    </row>
    <row r="16" spans="1:6" ht="14.55" customHeight="1" x14ac:dyDescent="0.3">
      <c r="A16" s="30" t="s">
        <v>138</v>
      </c>
      <c r="B16" s="130">
        <f>AVERAGE('Profit &amp; Loss'!G30:K30)</f>
        <v>14.599262978805147</v>
      </c>
      <c r="F16" s="121" t="s">
        <v>287</v>
      </c>
    </row>
    <row r="17" spans="1:6" ht="15" customHeight="1" thickBot="1" x14ac:dyDescent="0.35">
      <c r="A17" s="131" t="s">
        <v>137</v>
      </c>
      <c r="B17" s="132">
        <f>B7/'Profit &amp; Loss'!L24</f>
        <v>18.300490318018884</v>
      </c>
      <c r="F17" s="121" t="s">
        <v>288</v>
      </c>
    </row>
    <row r="18" spans="1:6" x14ac:dyDescent="0.3">
      <c r="A18" s="133"/>
      <c r="F18" s="121" t="s">
        <v>289</v>
      </c>
    </row>
    <row r="20" spans="1:6" ht="14.4" x14ac:dyDescent="0.3">
      <c r="A20" s="296" t="s">
        <v>260</v>
      </c>
      <c r="B20" s="296">
        <v>440</v>
      </c>
      <c r="C20" s="296">
        <v>460</v>
      </c>
    </row>
    <row r="21" spans="1:6" ht="14.4" x14ac:dyDescent="0.3">
      <c r="A21" s="298" t="s">
        <v>271</v>
      </c>
      <c r="B21" s="297">
        <f>B20/$B$4-1</f>
        <v>0.22222222222222232</v>
      </c>
      <c r="C21" s="297">
        <f>C20/$B$4-1</f>
        <v>0.27777777777777768</v>
      </c>
    </row>
    <row r="22" spans="1:6" x14ac:dyDescent="0.3">
      <c r="F22" s="226" t="s">
        <v>254</v>
      </c>
    </row>
    <row r="60" spans="2:2" x14ac:dyDescent="0.3">
      <c r="B60" s="121" t="s">
        <v>242</v>
      </c>
    </row>
    <row r="61" spans="2:2" x14ac:dyDescent="0.3">
      <c r="B61" s="121" t="s">
        <v>243</v>
      </c>
    </row>
    <row r="62" spans="2:2" x14ac:dyDescent="0.3">
      <c r="B62" s="121" t="s">
        <v>244</v>
      </c>
    </row>
  </sheetData>
  <mergeCells count="2">
    <mergeCell ref="A9:B9"/>
    <mergeCell ref="A1:B1"/>
  </mergeCells>
  <conditionalFormatting sqref="B22:B29">
    <cfRule type="containsText" dxfId="4" priority="1" operator="containsText" text="Negative">
      <formula>NOT(ISERROR(SEARCH("Negative",B22)))</formula>
    </cfRule>
    <cfRule type="containsText" dxfId="3" priority="2" operator="containsText" text="Positive">
      <formula>NOT(ISERROR(SEARCH("Positive",B22)))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3341-F24B-44DC-B79E-5704C59A21FA}">
  <dimension ref="A1:G16"/>
  <sheetViews>
    <sheetView workbookViewId="0">
      <selection activeCell="F14" sqref="F14"/>
    </sheetView>
  </sheetViews>
  <sheetFormatPr defaultRowHeight="14.4" x14ac:dyDescent="0.3"/>
  <cols>
    <col min="1" max="1" width="34.5546875" bestFit="1" customWidth="1"/>
    <col min="2" max="2" width="21.33203125" bestFit="1" customWidth="1"/>
    <col min="6" max="6" width="25.21875" customWidth="1"/>
    <col min="7" max="7" width="11.33203125" customWidth="1"/>
  </cols>
  <sheetData>
    <row r="1" spans="1:7" x14ac:dyDescent="0.3">
      <c r="A1" s="310" t="s">
        <v>232</v>
      </c>
      <c r="B1" s="311"/>
      <c r="E1" s="312" t="s">
        <v>257</v>
      </c>
      <c r="F1" s="313"/>
      <c r="G1" s="314"/>
    </row>
    <row r="2" spans="1:7" x14ac:dyDescent="0.3">
      <c r="A2" s="263" t="s">
        <v>233</v>
      </c>
      <c r="B2" s="264" t="s">
        <v>242</v>
      </c>
      <c r="E2" s="280" t="s">
        <v>258</v>
      </c>
      <c r="F2" s="281" t="s">
        <v>259</v>
      </c>
      <c r="G2" s="282" t="s">
        <v>260</v>
      </c>
    </row>
    <row r="3" spans="1:7" x14ac:dyDescent="0.3">
      <c r="A3" s="263" t="s">
        <v>234</v>
      </c>
      <c r="B3" s="264" t="s">
        <v>243</v>
      </c>
      <c r="E3" s="307">
        <v>43922</v>
      </c>
      <c r="F3" s="276" t="s">
        <v>292</v>
      </c>
      <c r="G3" s="277">
        <v>500</v>
      </c>
    </row>
    <row r="4" spans="1:7" x14ac:dyDescent="0.3">
      <c r="A4" s="263" t="s">
        <v>235</v>
      </c>
      <c r="B4" s="264" t="s">
        <v>244</v>
      </c>
      <c r="E4" s="307">
        <v>43952</v>
      </c>
      <c r="F4" s="276" t="s">
        <v>294</v>
      </c>
      <c r="G4" s="277">
        <v>497</v>
      </c>
    </row>
    <row r="5" spans="1:7" ht="15" thickBot="1" x14ac:dyDescent="0.35">
      <c r="A5" s="263" t="s">
        <v>236</v>
      </c>
      <c r="B5" s="264" t="s">
        <v>244</v>
      </c>
      <c r="E5" s="390">
        <v>43952</v>
      </c>
      <c r="F5" s="278" t="s">
        <v>293</v>
      </c>
      <c r="G5" s="279">
        <v>350</v>
      </c>
    </row>
    <row r="6" spans="1:7" x14ac:dyDescent="0.3">
      <c r="A6" s="263" t="s">
        <v>237</v>
      </c>
      <c r="B6" s="264" t="s">
        <v>243</v>
      </c>
    </row>
    <row r="7" spans="1:7" x14ac:dyDescent="0.3">
      <c r="A7" s="263" t="s">
        <v>238</v>
      </c>
      <c r="B7" s="264" t="s">
        <v>242</v>
      </c>
    </row>
    <row r="8" spans="1:7" x14ac:dyDescent="0.3">
      <c r="A8" s="263" t="s">
        <v>239</v>
      </c>
      <c r="B8" s="264" t="s">
        <v>242</v>
      </c>
    </row>
    <row r="9" spans="1:7" x14ac:dyDescent="0.3">
      <c r="A9" s="263" t="s">
        <v>240</v>
      </c>
      <c r="B9" s="264" t="s">
        <v>243</v>
      </c>
    </row>
    <row r="10" spans="1:7" x14ac:dyDescent="0.3">
      <c r="A10" s="263" t="s">
        <v>241</v>
      </c>
      <c r="B10" s="264" t="s">
        <v>242</v>
      </c>
    </row>
    <row r="11" spans="1:7" ht="15" thickBot="1" x14ac:dyDescent="0.35">
      <c r="A11" s="265"/>
      <c r="B11" s="266"/>
    </row>
    <row r="12" spans="1:7" x14ac:dyDescent="0.3">
      <c r="A12" s="270" t="s">
        <v>245</v>
      </c>
      <c r="B12" s="271">
        <f>COUNTIF(B2:B10,"=Positive")</f>
        <v>4</v>
      </c>
    </row>
    <row r="13" spans="1:7" x14ac:dyDescent="0.3">
      <c r="A13" s="267" t="s">
        <v>246</v>
      </c>
      <c r="B13" s="264">
        <f>COUNTIF(B2:B10,"=Negative")</f>
        <v>2</v>
      </c>
    </row>
    <row r="14" spans="1:7" ht="15" thickBot="1" x14ac:dyDescent="0.35">
      <c r="A14" s="268" t="s">
        <v>247</v>
      </c>
      <c r="B14" s="269">
        <f>B12-B13</f>
        <v>2</v>
      </c>
    </row>
    <row r="15" spans="1:7" x14ac:dyDescent="0.3">
      <c r="A15" s="121"/>
      <c r="B15" s="121"/>
    </row>
    <row r="16" spans="1:7" x14ac:dyDescent="0.3">
      <c r="A16" s="226" t="s">
        <v>253</v>
      </c>
      <c r="B16" s="121"/>
    </row>
  </sheetData>
  <mergeCells count="2">
    <mergeCell ref="A1:B1"/>
    <mergeCell ref="E1:G1"/>
  </mergeCells>
  <conditionalFormatting sqref="B2:B10">
    <cfRule type="containsText" dxfId="2" priority="1" operator="containsText" text="Negative">
      <formula>NOT(ISERROR(SEARCH("Negative",B2)))</formula>
    </cfRule>
    <cfRule type="containsText" dxfId="1" priority="2" operator="containsText" text="Positive">
      <formula>NOT(ISERROR(SEARCH("Positive",B2)))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312B8D4E-F6FA-4713-92C7-610412D40124}">
          <x14:formula1>
            <xm:f>Summary!$B$60:$B$62</xm:f>
          </x14:formula1>
          <xm:sqref>B2:B10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M32"/>
  <sheetViews>
    <sheetView workbookViewId="0">
      <selection activeCell="M23" sqref="M23"/>
    </sheetView>
  </sheetViews>
  <sheetFormatPr defaultColWidth="9.21875" defaultRowHeight="13.2" x14ac:dyDescent="0.25"/>
  <cols>
    <col min="1" max="1" width="24.33203125" style="150" bestFit="1" customWidth="1"/>
    <col min="2" max="2" width="8.33203125" style="150" bestFit="1" customWidth="1"/>
    <col min="3" max="3" width="7.6640625" style="150" bestFit="1" customWidth="1"/>
    <col min="4" max="5" width="7.44140625" style="150" bestFit="1" customWidth="1"/>
    <col min="6" max="6" width="7.6640625" style="150" bestFit="1" customWidth="1"/>
    <col min="7" max="10" width="7.44140625" style="150" bestFit="1" customWidth="1"/>
    <col min="11" max="11" width="8.33203125" style="150" bestFit="1" customWidth="1"/>
    <col min="12" max="16384" width="9.21875" style="150"/>
  </cols>
  <sheetData>
    <row r="1" spans="1:11" ht="19.2" x14ac:dyDescent="0.35">
      <c r="A1" s="315" t="s">
        <v>149</v>
      </c>
      <c r="B1" s="316"/>
      <c r="C1" s="316"/>
      <c r="D1" s="316"/>
      <c r="E1" s="316"/>
      <c r="F1" s="316"/>
      <c r="G1" s="316"/>
      <c r="H1" s="316"/>
      <c r="I1" s="316"/>
      <c r="J1" s="316"/>
      <c r="K1" s="317"/>
    </row>
    <row r="2" spans="1:11" s="149" customFormat="1" ht="13.8" thickBot="1" x14ac:dyDescent="0.3">
      <c r="A2" s="318" t="str">
        <f>'Profit &amp; Loss'!A2</f>
        <v>UPL LTD</v>
      </c>
      <c r="B2" s="319"/>
      <c r="C2" s="319"/>
      <c r="D2" s="319"/>
      <c r="E2" s="319"/>
      <c r="F2" s="319"/>
      <c r="G2" s="319"/>
      <c r="H2" s="319"/>
      <c r="I2" s="319"/>
      <c r="J2" s="319"/>
      <c r="K2" s="320"/>
    </row>
    <row r="3" spans="1:11" s="151" customFormat="1" x14ac:dyDescent="0.25">
      <c r="A3" s="162" t="s">
        <v>118</v>
      </c>
      <c r="B3" s="161">
        <f>'Data Sheet'!B56</f>
        <v>40268</v>
      </c>
      <c r="C3" s="161">
        <f>'Data Sheet'!C56</f>
        <v>40633</v>
      </c>
      <c r="D3" s="161">
        <f>'Data Sheet'!D56</f>
        <v>40999</v>
      </c>
      <c r="E3" s="161">
        <f>'Data Sheet'!E56</f>
        <v>41364</v>
      </c>
      <c r="F3" s="161">
        <f>'Data Sheet'!F56</f>
        <v>41729</v>
      </c>
      <c r="G3" s="161">
        <f>'Data Sheet'!G56</f>
        <v>42094</v>
      </c>
      <c r="H3" s="161">
        <f>'Data Sheet'!H56</f>
        <v>42460</v>
      </c>
      <c r="I3" s="161">
        <f>'Data Sheet'!I56</f>
        <v>42825</v>
      </c>
      <c r="J3" s="161">
        <f>'Data Sheet'!J56</f>
        <v>43190</v>
      </c>
      <c r="K3" s="163">
        <f>'Data Sheet'!K56</f>
        <v>43555</v>
      </c>
    </row>
    <row r="4" spans="1:11" x14ac:dyDescent="0.25">
      <c r="A4" s="164" t="s">
        <v>18</v>
      </c>
      <c r="B4" s="152">
        <f>'Data Sheet'!B57</f>
        <v>87.91</v>
      </c>
      <c r="C4" s="152">
        <f>'Data Sheet'!C57</f>
        <v>92.36</v>
      </c>
      <c r="D4" s="152">
        <f>'Data Sheet'!D57</f>
        <v>92.36</v>
      </c>
      <c r="E4" s="152">
        <f>'Data Sheet'!E57</f>
        <v>88.52</v>
      </c>
      <c r="F4" s="152">
        <f>'Data Sheet'!F57</f>
        <v>85.72</v>
      </c>
      <c r="G4" s="152">
        <f>'Data Sheet'!G57</f>
        <v>85.72</v>
      </c>
      <c r="H4" s="152">
        <f>'Data Sheet'!H57</f>
        <v>86</v>
      </c>
      <c r="I4" s="152">
        <f>'Data Sheet'!I57</f>
        <v>101</v>
      </c>
      <c r="J4" s="152">
        <f>'Data Sheet'!J57</f>
        <v>102</v>
      </c>
      <c r="K4" s="165">
        <f>'Data Sheet'!K57</f>
        <v>102</v>
      </c>
    </row>
    <row r="5" spans="1:11" x14ac:dyDescent="0.25">
      <c r="A5" s="164" t="s">
        <v>19</v>
      </c>
      <c r="B5" s="152">
        <f>'Data Sheet'!B58</f>
        <v>2903.9</v>
      </c>
      <c r="C5" s="152">
        <f>'Data Sheet'!C58</f>
        <v>3633.69</v>
      </c>
      <c r="D5" s="152">
        <f>'Data Sheet'!D58</f>
        <v>4080.75</v>
      </c>
      <c r="E5" s="152">
        <f>'Data Sheet'!E58</f>
        <v>4556.7</v>
      </c>
      <c r="F5" s="152">
        <f>'Data Sheet'!F58</f>
        <v>5161.7</v>
      </c>
      <c r="G5" s="152">
        <f>'Data Sheet'!G58</f>
        <v>5774.61</v>
      </c>
      <c r="H5" s="152">
        <f>'Data Sheet'!H58</f>
        <v>2006</v>
      </c>
      <c r="I5" s="152">
        <f>'Data Sheet'!I58</f>
        <v>7214</v>
      </c>
      <c r="J5" s="152">
        <f>'Data Sheet'!J58</f>
        <v>9067</v>
      </c>
      <c r="K5" s="165">
        <f>'Data Sheet'!K58</f>
        <v>14543</v>
      </c>
    </row>
    <row r="6" spans="1:11" x14ac:dyDescent="0.25">
      <c r="A6" s="164" t="s">
        <v>54</v>
      </c>
      <c r="B6" s="152">
        <f>'Data Sheet'!B59</f>
        <v>2419.3000000000002</v>
      </c>
      <c r="C6" s="152">
        <f>'Data Sheet'!C59</f>
        <v>2678.67</v>
      </c>
      <c r="D6" s="152">
        <f>'Data Sheet'!D59</f>
        <v>3389.11</v>
      </c>
      <c r="E6" s="152">
        <f>'Data Sheet'!E59</f>
        <v>4203.32</v>
      </c>
      <c r="F6" s="152">
        <f>'Data Sheet'!F59</f>
        <v>3349.49</v>
      </c>
      <c r="G6" s="152">
        <f>'Data Sheet'!G59</f>
        <v>3280.59</v>
      </c>
      <c r="H6" s="152">
        <f>'Data Sheet'!H59</f>
        <v>5258</v>
      </c>
      <c r="I6" s="152">
        <f>'Data Sheet'!I59</f>
        <v>6361</v>
      </c>
      <c r="J6" s="152">
        <f>'Data Sheet'!J59</f>
        <v>6638</v>
      </c>
      <c r="K6" s="165">
        <f>'Data Sheet'!K59</f>
        <v>29140</v>
      </c>
    </row>
    <row r="7" spans="1:11" x14ac:dyDescent="0.25">
      <c r="A7" s="164" t="s">
        <v>55</v>
      </c>
      <c r="B7" s="152">
        <f>'Data Sheet'!B60</f>
        <v>1569.48</v>
      </c>
      <c r="C7" s="152">
        <f>'Data Sheet'!C60</f>
        <v>1890.17</v>
      </c>
      <c r="D7" s="152">
        <f>'Data Sheet'!D60</f>
        <v>2831.66</v>
      </c>
      <c r="E7" s="152">
        <f>'Data Sheet'!E60</f>
        <v>3604.52</v>
      </c>
      <c r="F7" s="152">
        <f>'Data Sheet'!F60</f>
        <v>4261.54</v>
      </c>
      <c r="G7" s="152">
        <f>'Data Sheet'!G60</f>
        <v>5317.01</v>
      </c>
      <c r="H7" s="152">
        <f>'Data Sheet'!H60</f>
        <v>9638</v>
      </c>
      <c r="I7" s="152">
        <f>'Data Sheet'!I60</f>
        <v>6705</v>
      </c>
      <c r="J7" s="152">
        <f>'Data Sheet'!J60</f>
        <v>7236</v>
      </c>
      <c r="K7" s="165">
        <f>'Data Sheet'!K60</f>
        <v>19263</v>
      </c>
    </row>
    <row r="8" spans="1:11" s="149" customFormat="1" x14ac:dyDescent="0.25">
      <c r="A8" s="166" t="s">
        <v>20</v>
      </c>
      <c r="B8" s="153">
        <f>'Data Sheet'!B61</f>
        <v>6980.59</v>
      </c>
      <c r="C8" s="153">
        <f>'Data Sheet'!C61</f>
        <v>8294.89</v>
      </c>
      <c r="D8" s="153">
        <f>'Data Sheet'!D61</f>
        <v>10393.879999999999</v>
      </c>
      <c r="E8" s="153">
        <f>'Data Sheet'!E61</f>
        <v>12453.06</v>
      </c>
      <c r="F8" s="153">
        <f>'Data Sheet'!F61</f>
        <v>12858.45</v>
      </c>
      <c r="G8" s="153">
        <f>'Data Sheet'!G61</f>
        <v>14457.93</v>
      </c>
      <c r="H8" s="153">
        <f>'Data Sheet'!H61</f>
        <v>16988</v>
      </c>
      <c r="I8" s="153">
        <f>'Data Sheet'!I61</f>
        <v>20381</v>
      </c>
      <c r="J8" s="153">
        <f>'Data Sheet'!J61</f>
        <v>23043</v>
      </c>
      <c r="K8" s="167">
        <f>'Data Sheet'!K61</f>
        <v>63048</v>
      </c>
    </row>
    <row r="9" spans="1:11" s="149" customFormat="1" x14ac:dyDescent="0.25">
      <c r="A9" s="166"/>
      <c r="B9" s="153"/>
      <c r="C9" s="153"/>
      <c r="D9" s="153"/>
      <c r="E9" s="153"/>
      <c r="F9" s="153"/>
      <c r="G9" s="153"/>
      <c r="H9" s="153"/>
      <c r="I9" s="153"/>
      <c r="J9" s="153"/>
      <c r="K9" s="167"/>
    </row>
    <row r="10" spans="1:11" x14ac:dyDescent="0.25">
      <c r="A10" s="164" t="s">
        <v>21</v>
      </c>
      <c r="B10" s="152">
        <f>'Data Sheet'!B62</f>
        <v>1772.27</v>
      </c>
      <c r="C10" s="152">
        <f>'Data Sheet'!C62</f>
        <v>2320.85</v>
      </c>
      <c r="D10" s="152">
        <f>'Data Sheet'!D62</f>
        <v>3222.94</v>
      </c>
      <c r="E10" s="152">
        <f>'Data Sheet'!E62</f>
        <v>3489.21</v>
      </c>
      <c r="F10" s="152">
        <f>'Data Sheet'!F62</f>
        <v>3820.93</v>
      </c>
      <c r="G10" s="152">
        <f>'Data Sheet'!G62</f>
        <v>4030.8</v>
      </c>
      <c r="H10" s="152">
        <f>'Data Sheet'!H62</f>
        <v>3862</v>
      </c>
      <c r="I10" s="152">
        <f>'Data Sheet'!I62</f>
        <v>4071</v>
      </c>
      <c r="J10" s="152">
        <f>'Data Sheet'!J62</f>
        <v>4437</v>
      </c>
      <c r="K10" s="165">
        <f>'Data Sheet'!K62</f>
        <v>31901</v>
      </c>
    </row>
    <row r="11" spans="1:11" x14ac:dyDescent="0.25">
      <c r="A11" s="164" t="s">
        <v>22</v>
      </c>
      <c r="B11" s="152">
        <f>'Data Sheet'!B63</f>
        <v>40.549999999999997</v>
      </c>
      <c r="C11" s="152">
        <f>'Data Sheet'!C63</f>
        <v>56.76</v>
      </c>
      <c r="D11" s="152">
        <f>'Data Sheet'!D63</f>
        <v>305.64999999999998</v>
      </c>
      <c r="E11" s="152">
        <f>'Data Sheet'!E63</f>
        <v>377.62</v>
      </c>
      <c r="F11" s="152">
        <f>'Data Sheet'!F63</f>
        <v>227.77</v>
      </c>
      <c r="G11" s="152">
        <f>'Data Sheet'!G63</f>
        <v>583.1</v>
      </c>
      <c r="H11" s="152">
        <f>'Data Sheet'!H63</f>
        <v>484</v>
      </c>
      <c r="I11" s="152">
        <f>'Data Sheet'!I63</f>
        <v>792</v>
      </c>
      <c r="J11" s="152">
        <f>'Data Sheet'!J63</f>
        <v>1319</v>
      </c>
      <c r="K11" s="165">
        <f>'Data Sheet'!K63</f>
        <v>1783</v>
      </c>
    </row>
    <row r="12" spans="1:11" x14ac:dyDescent="0.25">
      <c r="A12" s="164" t="s">
        <v>23</v>
      </c>
      <c r="B12" s="152">
        <f>'Data Sheet'!B64</f>
        <v>761.18</v>
      </c>
      <c r="C12" s="152">
        <f>'Data Sheet'!C64</f>
        <v>823.18</v>
      </c>
      <c r="D12" s="152">
        <f>'Data Sheet'!D64</f>
        <v>794.52</v>
      </c>
      <c r="E12" s="152">
        <f>'Data Sheet'!E64</f>
        <v>1025.1500000000001</v>
      </c>
      <c r="F12" s="152">
        <f>'Data Sheet'!F64</f>
        <v>737.28</v>
      </c>
      <c r="G12" s="152">
        <f>'Data Sheet'!G64</f>
        <v>763.63</v>
      </c>
      <c r="H12" s="152">
        <f>'Data Sheet'!H64</f>
        <v>335</v>
      </c>
      <c r="I12" s="152">
        <f>'Data Sheet'!I64</f>
        <v>378</v>
      </c>
      <c r="J12" s="152">
        <f>'Data Sheet'!J64</f>
        <v>1034</v>
      </c>
      <c r="K12" s="165">
        <f>'Data Sheet'!K64</f>
        <v>708</v>
      </c>
    </row>
    <row r="13" spans="1:11" x14ac:dyDescent="0.25">
      <c r="A13" s="164" t="s">
        <v>56</v>
      </c>
      <c r="B13" s="152">
        <f>'Data Sheet'!B65</f>
        <v>4406.59</v>
      </c>
      <c r="C13" s="152">
        <f>'Data Sheet'!C65</f>
        <v>5094.1000000000004</v>
      </c>
      <c r="D13" s="152">
        <f>'Data Sheet'!D65</f>
        <v>6070.77</v>
      </c>
      <c r="E13" s="152">
        <f>'Data Sheet'!E65</f>
        <v>7561.08</v>
      </c>
      <c r="F13" s="152">
        <f>'Data Sheet'!F65</f>
        <v>8072.47</v>
      </c>
      <c r="G13" s="152">
        <f>'Data Sheet'!G65</f>
        <v>9080.4</v>
      </c>
      <c r="H13" s="152">
        <f>'Data Sheet'!H65</f>
        <v>12307</v>
      </c>
      <c r="I13" s="152">
        <f>'Data Sheet'!I65</f>
        <v>15140</v>
      </c>
      <c r="J13" s="152">
        <f>'Data Sheet'!J65</f>
        <v>16253</v>
      </c>
      <c r="K13" s="165">
        <f>'Data Sheet'!K65</f>
        <v>28656</v>
      </c>
    </row>
    <row r="14" spans="1:11" s="149" customFormat="1" x14ac:dyDescent="0.25">
      <c r="A14" s="166" t="s">
        <v>20</v>
      </c>
      <c r="B14" s="153">
        <f>'Data Sheet'!B66</f>
        <v>6980.59</v>
      </c>
      <c r="C14" s="153">
        <f>'Data Sheet'!C66</f>
        <v>8294.89</v>
      </c>
      <c r="D14" s="153">
        <f>'Data Sheet'!D66</f>
        <v>10393.879999999999</v>
      </c>
      <c r="E14" s="153">
        <f>'Data Sheet'!E66</f>
        <v>12453.06</v>
      </c>
      <c r="F14" s="153">
        <f>'Data Sheet'!F66</f>
        <v>12858.45</v>
      </c>
      <c r="G14" s="153">
        <f>'Data Sheet'!G66</f>
        <v>14457.93</v>
      </c>
      <c r="H14" s="153">
        <f>'Data Sheet'!H66</f>
        <v>16988</v>
      </c>
      <c r="I14" s="153">
        <f>'Data Sheet'!I66</f>
        <v>20381</v>
      </c>
      <c r="J14" s="153">
        <f>'Data Sheet'!J66</f>
        <v>23043</v>
      </c>
      <c r="K14" s="167">
        <f>'Data Sheet'!K66</f>
        <v>63048</v>
      </c>
    </row>
    <row r="15" spans="1:11" x14ac:dyDescent="0.25">
      <c r="A15" s="164"/>
      <c r="B15" s="154"/>
      <c r="C15" s="154"/>
      <c r="D15" s="154"/>
      <c r="E15" s="154"/>
      <c r="F15" s="154"/>
      <c r="G15" s="154"/>
      <c r="H15" s="154"/>
      <c r="I15" s="154"/>
      <c r="J15" s="154"/>
      <c r="K15" s="168"/>
    </row>
    <row r="16" spans="1:11" x14ac:dyDescent="0.25">
      <c r="A16" s="169" t="s">
        <v>24</v>
      </c>
      <c r="B16" s="154">
        <f>B13-B7</f>
        <v>2837.11</v>
      </c>
      <c r="C16" s="154">
        <f t="shared" ref="C16:K16" si="0">C13-C7</f>
        <v>3203.9300000000003</v>
      </c>
      <c r="D16" s="154">
        <f t="shared" si="0"/>
        <v>3239.1100000000006</v>
      </c>
      <c r="E16" s="154">
        <f t="shared" si="0"/>
        <v>3956.56</v>
      </c>
      <c r="F16" s="154">
        <f t="shared" si="0"/>
        <v>3810.9300000000003</v>
      </c>
      <c r="G16" s="154">
        <f t="shared" si="0"/>
        <v>3763.3899999999994</v>
      </c>
      <c r="H16" s="154">
        <f t="shared" si="0"/>
        <v>2669</v>
      </c>
      <c r="I16" s="154">
        <f t="shared" si="0"/>
        <v>8435</v>
      </c>
      <c r="J16" s="154">
        <f t="shared" si="0"/>
        <v>9017</v>
      </c>
      <c r="K16" s="168">
        <f t="shared" si="0"/>
        <v>9393</v>
      </c>
    </row>
    <row r="17" spans="1:13" x14ac:dyDescent="0.25">
      <c r="A17" s="232" t="s">
        <v>195</v>
      </c>
      <c r="B17" s="154"/>
      <c r="C17" s="154">
        <f>C16-B16</f>
        <v>366.82000000000016</v>
      </c>
      <c r="D17" s="154">
        <f t="shared" ref="D17:K17" si="1">D16-C16</f>
        <v>35.180000000000291</v>
      </c>
      <c r="E17" s="154">
        <f t="shared" si="1"/>
        <v>717.44999999999936</v>
      </c>
      <c r="F17" s="154">
        <f t="shared" si="1"/>
        <v>-145.62999999999965</v>
      </c>
      <c r="G17" s="154">
        <f t="shared" si="1"/>
        <v>-47.540000000000873</v>
      </c>
      <c r="H17" s="154">
        <f t="shared" si="1"/>
        <v>-1094.3899999999994</v>
      </c>
      <c r="I17" s="154">
        <f t="shared" si="1"/>
        <v>5766</v>
      </c>
      <c r="J17" s="154">
        <f t="shared" si="1"/>
        <v>582</v>
      </c>
      <c r="K17" s="154">
        <f t="shared" si="1"/>
        <v>376</v>
      </c>
    </row>
    <row r="18" spans="1:13" x14ac:dyDescent="0.25">
      <c r="A18" s="164" t="s">
        <v>38</v>
      </c>
      <c r="B18" s="154">
        <f>'Data Sheet'!B67</f>
        <v>1213.48</v>
      </c>
      <c r="C18" s="154">
        <f>'Data Sheet'!C67</f>
        <v>1479.48</v>
      </c>
      <c r="D18" s="154">
        <f>'Data Sheet'!D67</f>
        <v>2445.34</v>
      </c>
      <c r="E18" s="154">
        <f>'Data Sheet'!E67</f>
        <v>2684.99</v>
      </c>
      <c r="F18" s="154">
        <f>'Data Sheet'!F67</f>
        <v>3208.46</v>
      </c>
      <c r="G18" s="154">
        <f>'Data Sheet'!G67</f>
        <v>3793.04</v>
      </c>
      <c r="H18" s="154">
        <f>'Data Sheet'!H67</f>
        <v>5100</v>
      </c>
      <c r="I18" s="154">
        <f>'Data Sheet'!I67</f>
        <v>5656</v>
      </c>
      <c r="J18" s="154">
        <f>'Data Sheet'!J67</f>
        <v>6056</v>
      </c>
      <c r="K18" s="168">
        <f>'Data Sheet'!K67</f>
        <v>11812</v>
      </c>
    </row>
    <row r="19" spans="1:13" x14ac:dyDescent="0.25">
      <c r="A19" s="164" t="s">
        <v>39</v>
      </c>
      <c r="B19" s="154">
        <f>'Data Sheet'!B68</f>
        <v>1008.37</v>
      </c>
      <c r="C19" s="154">
        <f>'Data Sheet'!C68</f>
        <v>1405.54</v>
      </c>
      <c r="D19" s="154">
        <f>'Data Sheet'!D68</f>
        <v>1877.86</v>
      </c>
      <c r="E19" s="154">
        <f>'Data Sheet'!E68</f>
        <v>2068.6999999999998</v>
      </c>
      <c r="F19" s="154">
        <f>'Data Sheet'!F68</f>
        <v>2480.0700000000002</v>
      </c>
      <c r="G19" s="154">
        <f>'Data Sheet'!G68</f>
        <v>2937.6</v>
      </c>
      <c r="H19" s="154">
        <f>'Data Sheet'!H68</f>
        <v>3787</v>
      </c>
      <c r="I19" s="154">
        <f>'Data Sheet'!I68</f>
        <v>4156</v>
      </c>
      <c r="J19" s="154">
        <f>'Data Sheet'!J68</f>
        <v>4538</v>
      </c>
      <c r="K19" s="168">
        <f>'Data Sheet'!K68</f>
        <v>9270</v>
      </c>
    </row>
    <row r="20" spans="1:13" ht="13.8" thickBot="1" x14ac:dyDescent="0.3">
      <c r="A20" s="170" t="s">
        <v>139</v>
      </c>
      <c r="B20" s="272">
        <v>1577.77</v>
      </c>
      <c r="C20" s="272">
        <v>1565.86</v>
      </c>
      <c r="D20" s="272">
        <v>700.18</v>
      </c>
      <c r="E20" s="272">
        <v>1548.23</v>
      </c>
      <c r="F20" s="272">
        <v>1022.78</v>
      </c>
      <c r="G20" s="272">
        <v>1009.81</v>
      </c>
      <c r="H20" s="272">
        <v>1189</v>
      </c>
      <c r="I20" s="272">
        <v>2895</v>
      </c>
      <c r="J20" s="273">
        <v>2894</v>
      </c>
      <c r="K20" s="273">
        <v>2851</v>
      </c>
    </row>
    <row r="21" spans="1:13" x14ac:dyDescent="0.25">
      <c r="A21" s="159" t="s">
        <v>178</v>
      </c>
      <c r="B21" s="155"/>
      <c r="C21" s="155"/>
      <c r="D21" s="155"/>
      <c r="E21" s="155"/>
      <c r="F21" s="155"/>
      <c r="G21" s="155"/>
      <c r="H21" s="155"/>
      <c r="I21" s="155"/>
      <c r="J21" s="155"/>
      <c r="K21" s="155"/>
    </row>
    <row r="22" spans="1:13" ht="13.8" thickBot="1" x14ac:dyDescent="0.3">
      <c r="A22" s="159"/>
      <c r="B22" s="155"/>
      <c r="C22" s="155"/>
      <c r="D22" s="155"/>
      <c r="E22" s="155"/>
      <c r="F22" s="155"/>
      <c r="G22" s="155"/>
      <c r="H22" s="155"/>
      <c r="I22" s="155"/>
      <c r="J22" s="155"/>
      <c r="K22" s="155"/>
      <c r="M22" s="7" t="s">
        <v>261</v>
      </c>
    </row>
    <row r="23" spans="1:13" ht="13.8" thickBot="1" x14ac:dyDescent="0.3">
      <c r="A23" s="233" t="s">
        <v>189</v>
      </c>
      <c r="B23" s="154">
        <f>B6-B20</f>
        <v>841.5300000000002</v>
      </c>
      <c r="C23" s="154">
        <f t="shared" ref="C23:K23" si="2">C6-C20</f>
        <v>1112.8100000000002</v>
      </c>
      <c r="D23" s="154">
        <f t="shared" si="2"/>
        <v>2688.9300000000003</v>
      </c>
      <c r="E23" s="154">
        <f t="shared" si="2"/>
        <v>2655.0899999999997</v>
      </c>
      <c r="F23" s="154">
        <f t="shared" si="2"/>
        <v>2326.71</v>
      </c>
      <c r="G23" s="154">
        <f t="shared" si="2"/>
        <v>2270.7800000000002</v>
      </c>
      <c r="H23" s="154">
        <f t="shared" si="2"/>
        <v>4069</v>
      </c>
      <c r="I23" s="154">
        <f t="shared" si="2"/>
        <v>3466</v>
      </c>
      <c r="J23" s="154">
        <f t="shared" si="2"/>
        <v>3744</v>
      </c>
      <c r="K23" s="154">
        <f t="shared" si="2"/>
        <v>26289</v>
      </c>
      <c r="M23" s="299">
        <v>20000</v>
      </c>
    </row>
    <row r="24" spans="1:13" x14ac:dyDescent="0.25">
      <c r="A24" s="9" t="s">
        <v>190</v>
      </c>
      <c r="B24" s="154"/>
      <c r="C24" s="154">
        <f>C23-B23</f>
        <v>271.27999999999997</v>
      </c>
      <c r="D24" s="154">
        <f t="shared" ref="D24:K24" si="3">D23-C23</f>
        <v>1576.1200000000001</v>
      </c>
      <c r="E24" s="154">
        <f t="shared" si="3"/>
        <v>-33.8400000000006</v>
      </c>
      <c r="F24" s="154">
        <f t="shared" si="3"/>
        <v>-328.37999999999965</v>
      </c>
      <c r="G24" s="154">
        <f t="shared" si="3"/>
        <v>-55.929999999999836</v>
      </c>
      <c r="H24" s="154">
        <f t="shared" si="3"/>
        <v>1798.2199999999998</v>
      </c>
      <c r="I24" s="154">
        <f t="shared" si="3"/>
        <v>-603</v>
      </c>
      <c r="J24" s="154">
        <f t="shared" si="3"/>
        <v>278</v>
      </c>
      <c r="K24" s="154">
        <f t="shared" si="3"/>
        <v>22545</v>
      </c>
    </row>
    <row r="25" spans="1:13" ht="13.8" thickBot="1" x14ac:dyDescent="0.3">
      <c r="A25" s="7"/>
      <c r="B25" s="155"/>
      <c r="C25" s="155"/>
      <c r="D25" s="155"/>
      <c r="E25" s="155"/>
      <c r="F25" s="155"/>
      <c r="G25" s="155"/>
      <c r="H25" s="155"/>
      <c r="I25" s="155"/>
      <c r="J25" s="155"/>
      <c r="K25" s="155"/>
    </row>
    <row r="26" spans="1:13" x14ac:dyDescent="0.25">
      <c r="A26" s="171" t="s">
        <v>40</v>
      </c>
      <c r="B26" s="172">
        <f>IF('Profit &amp; Loss'!B4&gt;0,'Balance Sheet'!B18/('Profit &amp; Loss'!B4/365),0)</f>
        <v>83.727192989088934</v>
      </c>
      <c r="C26" s="172">
        <f>IF('Profit &amp; Loss'!C4&gt;0,'Balance Sheet'!C18/('Profit &amp; Loss'!C4/365),0)</f>
        <v>93.740704222418188</v>
      </c>
      <c r="D26" s="172">
        <f>IF('Profit &amp; Loss'!D4&gt;0,'Balance Sheet'!D18/('Profit &amp; Loss'!D4/365),0)</f>
        <v>116.34882914544043</v>
      </c>
      <c r="E26" s="172">
        <f>IF('Profit &amp; Loss'!E4&gt;0,'Balance Sheet'!E18/('Profit &amp; Loss'!E4/365),0)</f>
        <v>106.68989298583665</v>
      </c>
      <c r="F26" s="172">
        <f>IF('Profit &amp; Loss'!F4&gt;0,'Balance Sheet'!F18/('Profit &amp; Loss'!F4/365),0)</f>
        <v>108.72722563058916</v>
      </c>
      <c r="G26" s="172">
        <f>IF('Profit &amp; Loss'!G4&gt;0,'Balance Sheet'!G18/('Profit &amp; Loss'!G4/365),0)</f>
        <v>114.50786235827739</v>
      </c>
      <c r="H26" s="172">
        <f>IF('Profit &amp; Loss'!H4&gt;0,'Balance Sheet'!H18/('Profit &amp; Loss'!H4/365),0)</f>
        <v>132.50996583143507</v>
      </c>
      <c r="I26" s="172">
        <f>IF('Profit &amp; Loss'!I4&gt;0,'Balance Sheet'!I18/('Profit &amp; Loss'!I4/365),0)</f>
        <v>126.55958803334968</v>
      </c>
      <c r="J26" s="172">
        <f>IF('Profit &amp; Loss'!J4&gt;0,'Balance Sheet'!J18/('Profit &amp; Loss'!J4/365),0)</f>
        <v>127.19760616871908</v>
      </c>
      <c r="K26" s="173">
        <f>IF('Profit &amp; Loss'!K4&gt;0,'Balance Sheet'!K18/('Profit &amp; Loss'!K4/365),0)</f>
        <v>197.43462929889637</v>
      </c>
    </row>
    <row r="27" spans="1:13" x14ac:dyDescent="0.25">
      <c r="A27" s="174" t="s">
        <v>41</v>
      </c>
      <c r="B27" s="156">
        <f>IF('Balance Sheet'!B19&gt;0,'Profit &amp; Loss'!B4/'Balance Sheet'!B19,0)</f>
        <v>5.2461298927972866</v>
      </c>
      <c r="C27" s="156">
        <f>IF('Balance Sheet'!C19&gt;0,'Profit &amp; Loss'!C4/'Balance Sheet'!C19,0)</f>
        <v>4.0985528693598194</v>
      </c>
      <c r="D27" s="156">
        <f>IF('Balance Sheet'!D19&gt;0,'Profit &amp; Loss'!D4/'Balance Sheet'!D19,0)</f>
        <v>4.0851394672659307</v>
      </c>
      <c r="E27" s="156">
        <f>IF('Balance Sheet'!E19&gt;0,'Profit &amp; Loss'!E4/'Balance Sheet'!E19,0)</f>
        <v>4.4403248416880174</v>
      </c>
      <c r="F27" s="156">
        <f>IF('Balance Sheet'!F19&gt;0,'Profit &amp; Loss'!F4/'Balance Sheet'!F19,0)</f>
        <v>4.3429741902446297</v>
      </c>
      <c r="G27" s="156">
        <f>IF('Balance Sheet'!G19&gt;0,'Profit &amp; Loss'!G4/'Balance Sheet'!G19,0)</f>
        <v>4.1157815904139436</v>
      </c>
      <c r="H27" s="156">
        <f>IF('Balance Sheet'!H19&gt;0,'Profit &amp; Loss'!H4/'Balance Sheet'!H19,0)</f>
        <v>3.7095326115658831</v>
      </c>
      <c r="I27" s="156">
        <f>IF('Balance Sheet'!I19&gt;0,'Profit &amp; Loss'!I4/'Balance Sheet'!I19,0)</f>
        <v>3.9249278152069298</v>
      </c>
      <c r="J27" s="156">
        <f>IF('Balance Sheet'!J19&gt;0,'Profit &amp; Loss'!J4/'Balance Sheet'!J19,0)</f>
        <v>3.8294402820625826</v>
      </c>
      <c r="K27" s="175">
        <f>IF('Balance Sheet'!K19&gt;0,'Profit &amp; Loss'!K4/'Balance Sheet'!K19,0)</f>
        <v>2.3556634304207118</v>
      </c>
    </row>
    <row r="28" spans="1:13" x14ac:dyDescent="0.25">
      <c r="A28" s="174" t="s">
        <v>80</v>
      </c>
      <c r="B28" s="157">
        <f>'Profit &amp; Loss'!B4/'Balance Sheet'!B10</f>
        <v>2.984895078063726</v>
      </c>
      <c r="C28" s="157">
        <f>'Profit &amp; Loss'!C4/'Balance Sheet'!C10</f>
        <v>2.4821423185470843</v>
      </c>
      <c r="D28" s="157">
        <f>'Profit &amp; Loss'!D4/'Balance Sheet'!D10</f>
        <v>2.3802242672839085</v>
      </c>
      <c r="E28" s="157">
        <f>'Profit &amp; Loss'!E4/'Balance Sheet'!E10</f>
        <v>2.6326016490838904</v>
      </c>
      <c r="F28" s="157">
        <f>'Profit &amp; Loss'!F4/'Balance Sheet'!F10</f>
        <v>2.8189158136893373</v>
      </c>
      <c r="G28" s="157">
        <f>'Profit &amp; Loss'!G4/'Balance Sheet'!G10</f>
        <v>2.9995335913466308</v>
      </c>
      <c r="H28" s="157">
        <f>'Profit &amp; Loss'!H4/'Balance Sheet'!H10</f>
        <v>3.6374935266701192</v>
      </c>
      <c r="I28" s="157">
        <f>'Profit &amp; Loss'!I4/'Balance Sheet'!I10</f>
        <v>4.0068779169737168</v>
      </c>
      <c r="J28" s="157">
        <f>'Profit &amp; Loss'!J4/'Balance Sheet'!J10</f>
        <v>3.9166103222898356</v>
      </c>
      <c r="K28" s="176">
        <f>'Profit &amp; Loss'!K4/'Balance Sheet'!K10</f>
        <v>0.68452399611297454</v>
      </c>
    </row>
    <row r="29" spans="1:13" x14ac:dyDescent="0.25">
      <c r="A29" s="174" t="s">
        <v>81</v>
      </c>
      <c r="B29" s="157">
        <f>B6/(B4+B5)</f>
        <v>0.80864092305326885</v>
      </c>
      <c r="C29" s="157">
        <f t="shared" ref="C29:K29" si="4">C6/(C4+C5)</f>
        <v>0.71890339635807354</v>
      </c>
      <c r="D29" s="157">
        <f t="shared" si="4"/>
        <v>0.81213052136176622</v>
      </c>
      <c r="E29" s="157">
        <f t="shared" si="4"/>
        <v>0.9048699523381023</v>
      </c>
      <c r="F29" s="157">
        <f t="shared" si="4"/>
        <v>0.63831177988420973</v>
      </c>
      <c r="G29" s="157">
        <f t="shared" si="4"/>
        <v>0.55979612069627482</v>
      </c>
      <c r="H29" s="157">
        <f t="shared" si="4"/>
        <v>2.5133843212237093</v>
      </c>
      <c r="I29" s="157">
        <f t="shared" si="4"/>
        <v>0.8695830485304169</v>
      </c>
      <c r="J29" s="157">
        <f t="shared" si="4"/>
        <v>0.72396117351946776</v>
      </c>
      <c r="K29" s="176">
        <f t="shared" si="4"/>
        <v>1.9897575964493002</v>
      </c>
    </row>
    <row r="30" spans="1:13" s="149" customFormat="1" x14ac:dyDescent="0.25">
      <c r="A30" s="174" t="s">
        <v>44</v>
      </c>
      <c r="B30" s="158">
        <f>IF(SUM('Balance Sheet'!B4:B5)&gt;0,'Profit &amp; Loss'!B24/SUM('Balance Sheet'!B4:B5),"")</f>
        <v>0.17158175151496913</v>
      </c>
      <c r="C30" s="158">
        <f>IF(SUM('Balance Sheet'!C4:C5)&gt;0,'Profit &amp; Loss'!C24/SUM('Balance Sheet'!C4:C5),"")</f>
        <v>0.15870962547469841</v>
      </c>
      <c r="D30" s="158">
        <f>IF(SUM('Balance Sheet'!D4:D5)&gt;0,'Profit &amp; Loss'!D24/SUM('Balance Sheet'!D4:D5),"")</f>
        <v>0.14394300653469502</v>
      </c>
      <c r="E30" s="158">
        <f>IF(SUM('Balance Sheet'!E4:E5)&gt;0,'Profit &amp; Loss'!E24/SUM('Balance Sheet'!E4:E5),"")</f>
        <v>0.15945638742621474</v>
      </c>
      <c r="F30" s="158">
        <f>IF(SUM('Balance Sheet'!F4:F5)&gt;0,'Profit &amp; Loss'!F24/SUM('Balance Sheet'!F4:F5),"")</f>
        <v>0.17815421673889245</v>
      </c>
      <c r="G30" s="158">
        <f>IF(SUM('Balance Sheet'!G4:G5)&gt;0,'Profit &amp; Loss'!G24/SUM('Balance Sheet'!G4:G5),"")</f>
        <v>0.19902633469446304</v>
      </c>
      <c r="H30" s="158">
        <f>IF(SUM('Balance Sheet'!H4:H5)&gt;0,'Profit &amp; Loss'!H24/SUM('Balance Sheet'!H4:H5),"")</f>
        <v>0.45506692160611856</v>
      </c>
      <c r="I30" s="158">
        <f>IF(SUM('Balance Sheet'!I4:I5)&gt;0,'Profit &amp; Loss'!I24/SUM('Balance Sheet'!I4:I5),"")</f>
        <v>0.23691045796308954</v>
      </c>
      <c r="J30" s="158">
        <f>IF(SUM('Balance Sheet'!J4:J5)&gt;0,'Profit &amp; Loss'!J24/SUM('Balance Sheet'!J4:J5),"")</f>
        <v>0.22139818955175047</v>
      </c>
      <c r="K30" s="177">
        <f>IF(SUM('Balance Sheet'!K4:K5)&gt;0,'Profit &amp; Loss'!K24/SUM('Balance Sheet'!K4:K5),"")</f>
        <v>0.10372140662342097</v>
      </c>
      <c r="L30" s="150"/>
    </row>
    <row r="31" spans="1:13" s="149" customFormat="1" ht="13.8" thickBot="1" x14ac:dyDescent="0.3">
      <c r="A31" s="178" t="s">
        <v>79</v>
      </c>
      <c r="B31" s="202">
        <f>('Profit &amp; Loss'!B20+'Profit &amp; Loss'!B18)/(B4+B5+B6)</f>
        <v>0.14645608756798506</v>
      </c>
      <c r="C31" s="202">
        <f>('Profit &amp; Loss'!C20+'Profit &amp; Loss'!C18)/(C4+C5+C6)</f>
        <v>0.15245631346881675</v>
      </c>
      <c r="D31" s="202">
        <f>('Profit &amp; Loss'!D20+'Profit &amp; Loss'!D18)/(D4+D5+D6)</f>
        <v>0.15119105236293062</v>
      </c>
      <c r="E31" s="202">
        <f>('Profit &amp; Loss'!E20+'Profit &amp; Loss'!E18)/(E4+E5+E6)</f>
        <v>0.15514875900431044</v>
      </c>
      <c r="F31" s="202">
        <f>('Profit &amp; Loss'!F20+'Profit &amp; Loss'!F18)/(F4+F5+F6)</f>
        <v>0.19097908434542168</v>
      </c>
      <c r="G31" s="202">
        <f>('Profit &amp; Loss'!G20+'Profit &amp; Loss'!G18)/(G4+G5+G6)</f>
        <v>0.21085514368356822</v>
      </c>
      <c r="H31" s="202">
        <f>('Profit &amp; Loss'!H20+'Profit &amp; Loss'!H18)/(H4+H5+H6)</f>
        <v>0.24775510204081633</v>
      </c>
      <c r="I31" s="202">
        <f>('Profit &amp; Loss'!I20+'Profit &amp; Loss'!I18)/(I4+I5+I6)</f>
        <v>0.1942819537876572</v>
      </c>
      <c r="J31" s="202">
        <f>('Profit &amp; Loss'!J20+'Profit &amp; Loss'!J18)/(J4+J5+J6)</f>
        <v>0.19535648763206173</v>
      </c>
      <c r="K31" s="203">
        <f>('Profit &amp; Loss'!K20+'Profit &amp; Loss'!K18)/(K4+K5+K6)</f>
        <v>6.0454493548018726E-2</v>
      </c>
      <c r="L31" s="150"/>
    </row>
    <row r="32" spans="1:13" s="151" customFormat="1" x14ac:dyDescent="0.25"/>
  </sheetData>
  <mergeCells count="2">
    <mergeCell ref="A1:K1"/>
    <mergeCell ref="A2:K2"/>
  </mergeCells>
  <printOptions gridLines="1"/>
  <pageMargins left="0.7" right="0.7" top="0.75" bottom="0.75" header="0.3" footer="0.3"/>
  <pageSetup paperSize="9" orientation="landscape" horizontalDpi="0" verticalDpi="0" r:id="rId1"/>
  <extLst>
    <ext xmlns:x14="http://schemas.microsoft.com/office/spreadsheetml/2009/9/main" uri="{05C60535-1F16-4fd2-B633-F4F36F0B64E0}">
      <x14:sparklineGroups xmlns:xm="http://schemas.microsoft.com/office/excel/2006/main">
        <x14:sparklineGroup type="column" displayEmptyCellsAs="gap" xr2:uid="{B062919B-1B9E-4F85-9F98-EEBE56C8C994}">
          <x14:colorSeries rgb="FFC00000"/>
          <x14:colorNegative rgb="FFD00000"/>
          <x14:colorAxis rgb="FF000000"/>
          <x14:colorMarkers rgb="FFD00000"/>
          <x14:colorFirst rgb="FFD00000"/>
          <x14:colorLast rgb="FFD00000"/>
          <x14:colorHigh rgb="FFD00000"/>
          <x14:colorLow rgb="FFD00000"/>
          <x14:sparklines>
            <x14:sparkline>
              <xm:f>'Balance Sheet'!G26:K26</xm:f>
              <xm:sqref>L26</xm:sqref>
            </x14:sparkline>
            <x14:sparkline>
              <xm:f>'Balance Sheet'!G27:K27</xm:f>
              <xm:sqref>L27</xm:sqref>
            </x14:sparkline>
            <x14:sparkline>
              <xm:f>'Balance Sheet'!G28:K28</xm:f>
              <xm:sqref>L28</xm:sqref>
            </x14:sparkline>
          </x14:sparklines>
        </x14:sparklineGroup>
        <x14:sparklineGroup type="column" displayEmptyCellsAs="gap" xr2:uid="{0A035670-A727-405C-899E-AD0948A76599}">
          <x14:colorSeries rgb="FFC00000"/>
          <x14:colorNegative rgb="FFD00000"/>
          <x14:colorAxis rgb="FF000000"/>
          <x14:colorMarkers rgb="FFD00000"/>
          <x14:colorFirst rgb="FFD00000"/>
          <x14:colorLast rgb="FFD00000"/>
          <x14:colorHigh rgb="FFD00000"/>
          <x14:colorLow rgb="FFD00000"/>
          <x14:sparklines>
            <x14:sparkline>
              <xm:f>'Balance Sheet'!G30:K30</xm:f>
              <xm:sqref>L30</xm:sqref>
            </x14:sparkline>
          </x14:sparklines>
        </x14:sparklineGroup>
        <x14:sparklineGroup type="column" displayEmptyCellsAs="gap" xr2:uid="{C6317AC8-0CE7-4ED0-83C1-F68B6A61E005}">
          <x14:colorSeries rgb="FFC00000"/>
          <x14:colorNegative rgb="FFD00000"/>
          <x14:colorAxis rgb="FF000000"/>
          <x14:colorMarkers rgb="FFD00000"/>
          <x14:colorFirst rgb="FFD00000"/>
          <x14:colorLast rgb="FFD00000"/>
          <x14:colorHigh rgb="FFD00000"/>
          <x14:colorLow rgb="FFD00000"/>
          <x14:sparklines>
            <x14:sparkline>
              <xm:f>'Balance Sheet'!G31:K31</xm:f>
              <xm:sqref>L31</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7"/>
  <sheetViews>
    <sheetView topLeftCell="A24" zoomScaleSheetLayoutView="100" workbookViewId="0">
      <selection activeCell="N22" sqref="N22"/>
    </sheetView>
  </sheetViews>
  <sheetFormatPr defaultColWidth="9.44140625" defaultRowHeight="13.2" x14ac:dyDescent="0.25"/>
  <cols>
    <col min="1" max="1" width="25.5546875" style="83" bestFit="1" customWidth="1"/>
    <col min="2" max="2" width="11.109375" style="83" bestFit="1" customWidth="1"/>
    <col min="3" max="12" width="10.88671875" style="83" bestFit="1" customWidth="1"/>
    <col min="13" max="13" width="13" style="83" bestFit="1" customWidth="1"/>
    <col min="14" max="14" width="9.44140625" style="83"/>
    <col min="15" max="15" width="10.5546875" style="83" customWidth="1"/>
    <col min="16" max="16384" width="9.44140625" style="83"/>
  </cols>
  <sheetData>
    <row r="1" spans="1:14" ht="19.2" x14ac:dyDescent="0.35">
      <c r="A1" s="315" t="s">
        <v>141</v>
      </c>
      <c r="B1" s="316"/>
      <c r="C1" s="316"/>
      <c r="D1" s="316"/>
      <c r="E1" s="316"/>
      <c r="F1" s="316"/>
      <c r="G1" s="316"/>
      <c r="H1" s="316"/>
      <c r="I1" s="316"/>
      <c r="J1" s="316"/>
      <c r="K1" s="316"/>
      <c r="L1" s="317"/>
    </row>
    <row r="2" spans="1:14" s="84" customFormat="1" ht="13.8" thickBot="1" x14ac:dyDescent="0.3">
      <c r="A2" s="323" t="str">
        <f>'Data Sheet'!B1</f>
        <v>UPL LTD</v>
      </c>
      <c r="B2" s="324"/>
      <c r="C2" s="324"/>
      <c r="D2" s="324"/>
      <c r="E2" s="324"/>
      <c r="F2" s="324"/>
      <c r="G2" s="324"/>
      <c r="H2" s="324"/>
      <c r="I2" s="324"/>
      <c r="J2" s="324"/>
      <c r="K2" s="324"/>
      <c r="L2" s="325"/>
    </row>
    <row r="3" spans="1:14" s="88" customFormat="1" x14ac:dyDescent="0.25">
      <c r="A3" s="85" t="s">
        <v>118</v>
      </c>
      <c r="B3" s="86">
        <f>'Data Sheet'!B16</f>
        <v>40268</v>
      </c>
      <c r="C3" s="86">
        <f>'Data Sheet'!C16</f>
        <v>40633</v>
      </c>
      <c r="D3" s="86">
        <f>'Data Sheet'!D16</f>
        <v>40999</v>
      </c>
      <c r="E3" s="86">
        <f>'Data Sheet'!E16</f>
        <v>41364</v>
      </c>
      <c r="F3" s="86">
        <f>'Data Sheet'!F16</f>
        <v>41729</v>
      </c>
      <c r="G3" s="86">
        <f>'Data Sheet'!G16</f>
        <v>42094</v>
      </c>
      <c r="H3" s="86">
        <f>'Data Sheet'!H16</f>
        <v>42460</v>
      </c>
      <c r="I3" s="86">
        <f>'Data Sheet'!I16</f>
        <v>42825</v>
      </c>
      <c r="J3" s="86">
        <f>'Data Sheet'!J16</f>
        <v>43190</v>
      </c>
      <c r="K3" s="86">
        <f>'Data Sheet'!K16</f>
        <v>43555</v>
      </c>
      <c r="L3" s="87" t="s">
        <v>3</v>
      </c>
      <c r="M3" s="302"/>
      <c r="N3" s="302"/>
    </row>
    <row r="4" spans="1:14" s="84" customFormat="1" x14ac:dyDescent="0.25">
      <c r="A4" s="89" t="s">
        <v>4</v>
      </c>
      <c r="B4" s="90">
        <f>'Data Sheet'!B17</f>
        <v>5290.04</v>
      </c>
      <c r="C4" s="90">
        <f>'Data Sheet'!C17</f>
        <v>5760.68</v>
      </c>
      <c r="D4" s="90">
        <f>'Data Sheet'!D17</f>
        <v>7671.32</v>
      </c>
      <c r="E4" s="90">
        <f>'Data Sheet'!E17</f>
        <v>9185.7000000000007</v>
      </c>
      <c r="F4" s="90">
        <f>'Data Sheet'!F17</f>
        <v>10770.88</v>
      </c>
      <c r="G4" s="90">
        <f>'Data Sheet'!G17</f>
        <v>12090.52</v>
      </c>
      <c r="H4" s="90">
        <f>'Data Sheet'!H17</f>
        <v>14048</v>
      </c>
      <c r="I4" s="90">
        <f>'Data Sheet'!I17</f>
        <v>16312</v>
      </c>
      <c r="J4" s="90">
        <f>'Data Sheet'!J17</f>
        <v>17378</v>
      </c>
      <c r="K4" s="90">
        <f>'Data Sheet'!K17</f>
        <v>21837</v>
      </c>
      <c r="L4" s="91">
        <f>SUM(Quarters!H4:K4)</f>
        <v>33140</v>
      </c>
      <c r="M4" s="301"/>
      <c r="N4" s="301" t="s">
        <v>275</v>
      </c>
    </row>
    <row r="5" spans="1:14" s="84" customFormat="1" x14ac:dyDescent="0.25">
      <c r="A5" s="92" t="s">
        <v>75</v>
      </c>
      <c r="B5" s="93"/>
      <c r="C5" s="94">
        <f>C4/B4-1</f>
        <v>8.8967191174357918E-2</v>
      </c>
      <c r="D5" s="94">
        <f t="shared" ref="D5:K5" si="0">D4/C4-1</f>
        <v>0.33166917794427042</v>
      </c>
      <c r="E5" s="94">
        <f t="shared" si="0"/>
        <v>0.19740800800905212</v>
      </c>
      <c r="F5" s="94">
        <f t="shared" si="0"/>
        <v>0.17257040835211224</v>
      </c>
      <c r="G5" s="94">
        <f t="shared" si="0"/>
        <v>0.12251923705398271</v>
      </c>
      <c r="H5" s="94">
        <f t="shared" si="0"/>
        <v>0.16190205218634102</v>
      </c>
      <c r="I5" s="94">
        <f t="shared" si="0"/>
        <v>0.16116173120728927</v>
      </c>
      <c r="J5" s="94">
        <f t="shared" si="0"/>
        <v>6.5350662089259437E-2</v>
      </c>
      <c r="K5" s="94">
        <f t="shared" si="0"/>
        <v>0.25658879042467486</v>
      </c>
      <c r="L5" s="95"/>
      <c r="M5" s="301"/>
      <c r="N5" s="301"/>
    </row>
    <row r="6" spans="1:14" x14ac:dyDescent="0.25">
      <c r="A6" s="96" t="s">
        <v>5</v>
      </c>
      <c r="B6" s="97">
        <f>SUM('Data Sheet'!B18,'Data Sheet'!B20:B24, -1*'Data Sheet'!B19)</f>
        <v>4465.09</v>
      </c>
      <c r="C6" s="97">
        <f>SUM('Data Sheet'!C18,'Data Sheet'!C20:C24, -1*'Data Sheet'!C19)</f>
        <v>4707.93</v>
      </c>
      <c r="D6" s="97">
        <f>SUM('Data Sheet'!D18,'Data Sheet'!D20:D24, -1*'Data Sheet'!D19)</f>
        <v>6320.7799999999988</v>
      </c>
      <c r="E6" s="97">
        <f>SUM('Data Sheet'!E18,'Data Sheet'!E20:E24, -1*'Data Sheet'!E19)</f>
        <v>7566.5099999999993</v>
      </c>
      <c r="F6" s="97">
        <f>SUM('Data Sheet'!F18,'Data Sheet'!F20:F24, -1*'Data Sheet'!F19)</f>
        <v>8795.25</v>
      </c>
      <c r="G6" s="97">
        <f>SUM('Data Sheet'!G18,'Data Sheet'!G20:G24, -1*'Data Sheet'!G19)</f>
        <v>9792.5699999999979</v>
      </c>
      <c r="H6" s="97">
        <f>SUM('Data Sheet'!H18,'Data Sheet'!H20:H24, -1*'Data Sheet'!H19)</f>
        <v>11700</v>
      </c>
      <c r="I6" s="97">
        <f>SUM('Data Sheet'!I18,'Data Sheet'!I20:I24, -1*'Data Sheet'!I19)</f>
        <v>13398</v>
      </c>
      <c r="J6" s="97">
        <f>SUM('Data Sheet'!J18,'Data Sheet'!J20:J24, -1*'Data Sheet'!J19)</f>
        <v>13961</v>
      </c>
      <c r="K6" s="97">
        <f>SUM('Data Sheet'!K18,'Data Sheet'!K20:K24, -1*'Data Sheet'!K19)</f>
        <v>18036</v>
      </c>
      <c r="L6" s="98">
        <f>SUM(Quarters!H6:K6)</f>
        <v>27060</v>
      </c>
      <c r="M6" s="206"/>
      <c r="N6" s="206"/>
    </row>
    <row r="7" spans="1:14" x14ac:dyDescent="0.25">
      <c r="A7" s="99" t="s">
        <v>85</v>
      </c>
      <c r="B7" s="100">
        <f>'Data Sheet'!B18/'Data Sheet'!B17</f>
        <v>0.48013625605855531</v>
      </c>
      <c r="C7" s="100">
        <f>'Data Sheet'!C18/'Data Sheet'!C17</f>
        <v>0.55752445891804436</v>
      </c>
      <c r="D7" s="100">
        <f>'Data Sheet'!D18/'Data Sheet'!D17</f>
        <v>0.52898327797562872</v>
      </c>
      <c r="E7" s="100">
        <f>'Data Sheet'!E18/'Data Sheet'!E17</f>
        <v>0.51028881848960872</v>
      </c>
      <c r="F7" s="100">
        <f>'Data Sheet'!F18/'Data Sheet'!F17</f>
        <v>0.50513978430731754</v>
      </c>
      <c r="G7" s="100">
        <f>'Data Sheet'!G18/'Data Sheet'!G17</f>
        <v>0.49761383298650508</v>
      </c>
      <c r="H7" s="100">
        <f>'Data Sheet'!H18/'Data Sheet'!H17</f>
        <v>0.49572892938496582</v>
      </c>
      <c r="I7" s="100">
        <f>'Data Sheet'!I18/'Data Sheet'!I17</f>
        <v>0.50134870034330559</v>
      </c>
      <c r="J7" s="100">
        <f>'Data Sheet'!J18/'Data Sheet'!J17</f>
        <v>0.46679709978133271</v>
      </c>
      <c r="K7" s="100">
        <f>'Data Sheet'!K18/'Data Sheet'!K17</f>
        <v>0.49933598937583001</v>
      </c>
      <c r="L7" s="101"/>
      <c r="M7" s="206"/>
      <c r="N7" s="206"/>
    </row>
    <row r="8" spans="1:14" x14ac:dyDescent="0.25">
      <c r="A8" s="99" t="s">
        <v>65</v>
      </c>
      <c r="B8" s="100">
        <f>'Data Sheet'!B20/'Data Sheet'!B17</f>
        <v>1.5109526582029627E-2</v>
      </c>
      <c r="C8" s="100">
        <f>'Data Sheet'!C20/'Data Sheet'!C17</f>
        <v>3.840692418256178E-2</v>
      </c>
      <c r="D8" s="100">
        <f>'Data Sheet'!D20/'Data Sheet'!D17</f>
        <v>3.4352627709442439E-2</v>
      </c>
      <c r="E8" s="100">
        <f>'Data Sheet'!E20/'Data Sheet'!E17</f>
        <v>3.8085284736057129E-2</v>
      </c>
      <c r="F8" s="100">
        <f>'Data Sheet'!F20/'Data Sheet'!F17</f>
        <v>4.0263191122730926E-2</v>
      </c>
      <c r="G8" s="100">
        <f>'Data Sheet'!G20/'Data Sheet'!G17</f>
        <v>3.6027399979488062E-2</v>
      </c>
      <c r="H8" s="100">
        <f>'Data Sheet'!H20/'Data Sheet'!H17</f>
        <v>2.5555239179954441E-2</v>
      </c>
      <c r="I8" s="100">
        <f>'Data Sheet'!I20/'Data Sheet'!I17</f>
        <v>2.0782246199117213E-2</v>
      </c>
      <c r="J8" s="100">
        <f>'Data Sheet'!J20/'Data Sheet'!J17</f>
        <v>1.6745310162274141E-2</v>
      </c>
      <c r="K8" s="100">
        <f>'Data Sheet'!K20/'Data Sheet'!K17</f>
        <v>1.8409122132161011E-2</v>
      </c>
      <c r="L8" s="101"/>
      <c r="M8" s="206"/>
      <c r="N8" s="206"/>
    </row>
    <row r="9" spans="1:14" x14ac:dyDescent="0.25">
      <c r="A9" s="99" t="s">
        <v>66</v>
      </c>
      <c r="B9" s="100">
        <f>'Data Sheet'!B21/'Data Sheet'!B17</f>
        <v>4.4948620426310579E-2</v>
      </c>
      <c r="C9" s="100">
        <f>'Data Sheet'!C21/'Data Sheet'!C17</f>
        <v>5.0804766104001614E-2</v>
      </c>
      <c r="D9" s="100">
        <f>'Data Sheet'!D21/'Data Sheet'!D17</f>
        <v>4.2553302430350971E-2</v>
      </c>
      <c r="E9" s="100">
        <f>'Data Sheet'!E21/'Data Sheet'!E17</f>
        <v>4.8026824302992696E-2</v>
      </c>
      <c r="F9" s="100">
        <f>'Data Sheet'!F21/'Data Sheet'!F17</f>
        <v>4.2292737455064025E-2</v>
      </c>
      <c r="G9" s="100">
        <f>'Data Sheet'!G21/'Data Sheet'!G17</f>
        <v>5.7764264895140985E-2</v>
      </c>
      <c r="H9" s="100">
        <f>'Data Sheet'!H21/'Data Sheet'!H17</f>
        <v>9.4177107061503423E-2</v>
      </c>
      <c r="I9" s="100">
        <f>'Data Sheet'!I21/'Data Sheet'!I17</f>
        <v>9.5389897008337415E-2</v>
      </c>
      <c r="J9" s="100">
        <f>'Data Sheet'!J21/'Data Sheet'!J17</f>
        <v>0.10496029462538842</v>
      </c>
      <c r="K9" s="100">
        <f>'Data Sheet'!K21/'Data Sheet'!K17</f>
        <v>9.6533406603471178E-2</v>
      </c>
      <c r="L9" s="101"/>
      <c r="M9" s="206"/>
      <c r="N9" s="206"/>
    </row>
    <row r="10" spans="1:14" x14ac:dyDescent="0.25">
      <c r="A10" s="99" t="s">
        <v>67</v>
      </c>
      <c r="B10" s="100">
        <f>'Data Sheet'!B22/'Data Sheet'!B17</f>
        <v>9.4863176837982316E-2</v>
      </c>
      <c r="C10" s="100">
        <f>'Data Sheet'!C22/'Data Sheet'!C17</f>
        <v>8.9336675531360876E-2</v>
      </c>
      <c r="D10" s="100">
        <f>'Data Sheet'!D22/'Data Sheet'!D17</f>
        <v>8.9027703185370968E-2</v>
      </c>
      <c r="E10" s="100">
        <f>'Data Sheet'!E22/'Data Sheet'!E17</f>
        <v>9.2820362084544444E-2</v>
      </c>
      <c r="F10" s="100">
        <f>'Data Sheet'!F22/'Data Sheet'!F17</f>
        <v>8.8031804272260025E-2</v>
      </c>
      <c r="G10" s="100">
        <f>'Data Sheet'!G22/'Data Sheet'!G17</f>
        <v>8.6249392085700191E-2</v>
      </c>
      <c r="H10" s="100">
        <f>'Data Sheet'!H22/'Data Sheet'!H17</f>
        <v>0.10207858769931663</v>
      </c>
      <c r="I10" s="100">
        <f>'Data Sheet'!I22/'Data Sheet'!I17</f>
        <v>9.9742520843550758E-2</v>
      </c>
      <c r="J10" s="100">
        <f>'Data Sheet'!J22/'Data Sheet'!J17</f>
        <v>9.8572908274830243E-2</v>
      </c>
      <c r="K10" s="100">
        <f>'Data Sheet'!K22/'Data Sheet'!K17</f>
        <v>9.5938086733525663E-2</v>
      </c>
      <c r="L10" s="101"/>
      <c r="M10" s="206"/>
      <c r="N10" s="206"/>
    </row>
    <row r="11" spans="1:14" x14ac:dyDescent="0.25">
      <c r="A11" s="99" t="s">
        <v>84</v>
      </c>
      <c r="B11" s="100">
        <f>'Data Sheet'!B23/'Data Sheet'!B17</f>
        <v>0.11232618278878799</v>
      </c>
      <c r="C11" s="100">
        <f>'Data Sheet'!C23/'Data Sheet'!C17</f>
        <v>0.11310470291701673</v>
      </c>
      <c r="D11" s="100">
        <f>'Data Sheet'!D23/'Data Sheet'!D17</f>
        <v>0.10497150425220171</v>
      </c>
      <c r="E11" s="100">
        <f>'Data Sheet'!E23/'Data Sheet'!E17</f>
        <v>9.9704976213026764E-2</v>
      </c>
      <c r="F11" s="100">
        <f>'Data Sheet'!F23/'Data Sheet'!F17</f>
        <v>0.1205667503490894</v>
      </c>
      <c r="G11" s="100">
        <f>'Data Sheet'!G23/'Data Sheet'!G17</f>
        <v>0.12153158011400668</v>
      </c>
      <c r="H11" s="100">
        <f>'Data Sheet'!H23/'Data Sheet'!H17</f>
        <v>8.7414578587699313E-2</v>
      </c>
      <c r="I11" s="100">
        <f>'Data Sheet'!I23/'Data Sheet'!I17</f>
        <v>8.7420304070622859E-2</v>
      </c>
      <c r="J11" s="100">
        <f>'Data Sheet'!J23/'Data Sheet'!J17</f>
        <v>8.9653584992519283E-2</v>
      </c>
      <c r="K11" s="100">
        <f>'Data Sheet'!K23/'Data Sheet'!K17</f>
        <v>8.2520492741676971E-2</v>
      </c>
      <c r="L11" s="101"/>
      <c r="M11" s="206"/>
      <c r="N11" s="206"/>
    </row>
    <row r="12" spans="1:14" s="84" customFormat="1" x14ac:dyDescent="0.25">
      <c r="A12" s="89" t="s">
        <v>6</v>
      </c>
      <c r="B12" s="90">
        <f>B4-B6</f>
        <v>824.94999999999982</v>
      </c>
      <c r="C12" s="90">
        <f t="shared" ref="C12:L12" si="1">C4-C6</f>
        <v>1052.75</v>
      </c>
      <c r="D12" s="90">
        <f t="shared" si="1"/>
        <v>1350.5400000000009</v>
      </c>
      <c r="E12" s="90">
        <f t="shared" si="1"/>
        <v>1619.1900000000014</v>
      </c>
      <c r="F12" s="90">
        <f t="shared" si="1"/>
        <v>1975.6299999999992</v>
      </c>
      <c r="G12" s="90">
        <f t="shared" si="1"/>
        <v>2297.9500000000025</v>
      </c>
      <c r="H12" s="90">
        <f t="shared" si="1"/>
        <v>2348</v>
      </c>
      <c r="I12" s="90">
        <f t="shared" si="1"/>
        <v>2914</v>
      </c>
      <c r="J12" s="90">
        <f t="shared" si="1"/>
        <v>3417</v>
      </c>
      <c r="K12" s="90">
        <f t="shared" si="1"/>
        <v>3801</v>
      </c>
      <c r="L12" s="91">
        <f t="shared" si="1"/>
        <v>6080</v>
      </c>
      <c r="M12" s="301"/>
      <c r="N12" s="301"/>
    </row>
    <row r="13" spans="1:14" s="84" customFormat="1" x14ac:dyDescent="0.25">
      <c r="A13" s="92" t="s">
        <v>73</v>
      </c>
      <c r="B13" s="94">
        <f t="shared" ref="B13:L13" si="2">B12/B4</f>
        <v>0.15594400042343723</v>
      </c>
      <c r="C13" s="94">
        <f t="shared" si="2"/>
        <v>0.18274752286188437</v>
      </c>
      <c r="D13" s="94">
        <f t="shared" si="2"/>
        <v>0.1760505362831952</v>
      </c>
      <c r="E13" s="94">
        <f t="shared" si="2"/>
        <v>0.17627290244619367</v>
      </c>
      <c r="F13" s="94">
        <f t="shared" si="2"/>
        <v>0.18342326717965471</v>
      </c>
      <c r="G13" s="94">
        <f t="shared" si="2"/>
        <v>0.19006213132272246</v>
      </c>
      <c r="H13" s="94">
        <f t="shared" si="2"/>
        <v>0.16714123006833714</v>
      </c>
      <c r="I13" s="94">
        <f t="shared" si="2"/>
        <v>0.17864149092692497</v>
      </c>
      <c r="J13" s="94">
        <f t="shared" si="2"/>
        <v>0.1966279203590747</v>
      </c>
      <c r="K13" s="94">
        <f t="shared" si="2"/>
        <v>0.17406237120483584</v>
      </c>
      <c r="L13" s="95">
        <f t="shared" si="2"/>
        <v>0.18346409173204586</v>
      </c>
      <c r="M13" s="301" t="s">
        <v>274</v>
      </c>
      <c r="N13" s="301"/>
    </row>
    <row r="14" spans="1:14" x14ac:dyDescent="0.25">
      <c r="A14" s="96" t="s">
        <v>7</v>
      </c>
      <c r="B14" s="97">
        <f>'Data Sheet'!B25</f>
        <v>182.24</v>
      </c>
      <c r="C14" s="97">
        <f>'Data Sheet'!C25</f>
        <v>137.49</v>
      </c>
      <c r="D14" s="97">
        <f>'Data Sheet'!D25</f>
        <v>85.18</v>
      </c>
      <c r="E14" s="97">
        <f>'Data Sheet'!E25</f>
        <v>107.37</v>
      </c>
      <c r="F14" s="97">
        <f>'Data Sheet'!F25</f>
        <v>73.14</v>
      </c>
      <c r="G14" s="97">
        <f>'Data Sheet'!G25</f>
        <v>53.98</v>
      </c>
      <c r="H14" s="97">
        <f>'Data Sheet'!H25</f>
        <v>149</v>
      </c>
      <c r="I14" s="97">
        <f>'Data Sheet'!I25</f>
        <v>415</v>
      </c>
      <c r="J14" s="97">
        <f>'Data Sheet'!J25</f>
        <v>346</v>
      </c>
      <c r="K14" s="97">
        <f>'Data Sheet'!K25</f>
        <v>-185</v>
      </c>
      <c r="L14" s="98">
        <f>SUM(Quarters!H8:K8)</f>
        <v>-620</v>
      </c>
      <c r="M14" s="301" t="s">
        <v>273</v>
      </c>
      <c r="N14" s="206"/>
    </row>
    <row r="15" spans="1:14" x14ac:dyDescent="0.25">
      <c r="A15" s="92" t="s">
        <v>122</v>
      </c>
      <c r="B15" s="102">
        <f>B14/B4</f>
        <v>3.4449644993232567E-2</v>
      </c>
      <c r="C15" s="102">
        <f t="shared" ref="C15:L15" si="3">C14/C4</f>
        <v>2.3866974037787207E-2</v>
      </c>
      <c r="D15" s="102">
        <f t="shared" si="3"/>
        <v>1.1103695322317413E-2</v>
      </c>
      <c r="E15" s="102">
        <f t="shared" si="3"/>
        <v>1.1688820666906168E-2</v>
      </c>
      <c r="F15" s="102">
        <f t="shared" si="3"/>
        <v>6.7905315071749017E-3</v>
      </c>
      <c r="G15" s="102">
        <f t="shared" si="3"/>
        <v>4.4646549528059992E-3</v>
      </c>
      <c r="H15" s="102">
        <f t="shared" si="3"/>
        <v>1.0606492027334852E-2</v>
      </c>
      <c r="I15" s="102">
        <f t="shared" si="3"/>
        <v>2.5441392839627267E-2</v>
      </c>
      <c r="J15" s="102">
        <f t="shared" si="3"/>
        <v>1.9910231326965129E-2</v>
      </c>
      <c r="K15" s="102">
        <f t="shared" si="3"/>
        <v>-8.4718596876860383E-3</v>
      </c>
      <c r="L15" s="103">
        <f t="shared" si="3"/>
        <v>-1.8708509354254676E-2</v>
      </c>
      <c r="M15" s="206"/>
      <c r="N15" s="206"/>
    </row>
    <row r="16" spans="1:14" x14ac:dyDescent="0.25">
      <c r="A16" s="252" t="s">
        <v>222</v>
      </c>
      <c r="B16" s="253">
        <f>B12+B14</f>
        <v>1007.1899999999998</v>
      </c>
      <c r="C16" s="253">
        <f t="shared" ref="C16:L16" si="4">C12+C14</f>
        <v>1190.24</v>
      </c>
      <c r="D16" s="253">
        <f t="shared" si="4"/>
        <v>1435.7200000000009</v>
      </c>
      <c r="E16" s="253">
        <f t="shared" si="4"/>
        <v>1726.5600000000013</v>
      </c>
      <c r="F16" s="253">
        <f t="shared" si="4"/>
        <v>2048.7699999999991</v>
      </c>
      <c r="G16" s="253">
        <f t="shared" si="4"/>
        <v>2351.9300000000026</v>
      </c>
      <c r="H16" s="253">
        <f t="shared" si="4"/>
        <v>2497</v>
      </c>
      <c r="I16" s="253">
        <f t="shared" si="4"/>
        <v>3329</v>
      </c>
      <c r="J16" s="253">
        <f t="shared" si="4"/>
        <v>3763</v>
      </c>
      <c r="K16" s="253">
        <f t="shared" si="4"/>
        <v>3616</v>
      </c>
      <c r="L16" s="253">
        <f t="shared" si="4"/>
        <v>5460</v>
      </c>
      <c r="M16" s="301"/>
      <c r="N16" s="206"/>
    </row>
    <row r="17" spans="1:14" x14ac:dyDescent="0.25">
      <c r="A17" s="96" t="s">
        <v>8</v>
      </c>
      <c r="B17" s="97">
        <f>'Data Sheet'!B26</f>
        <v>214.7</v>
      </c>
      <c r="C17" s="97">
        <f>'Data Sheet'!C26</f>
        <v>213.8</v>
      </c>
      <c r="D17" s="97">
        <f>'Data Sheet'!D26</f>
        <v>292.38</v>
      </c>
      <c r="E17" s="97">
        <f>'Data Sheet'!E26</f>
        <v>353.72</v>
      </c>
      <c r="F17" s="97">
        <f>'Data Sheet'!F26</f>
        <v>406.94</v>
      </c>
      <c r="G17" s="97">
        <f>'Data Sheet'!G26</f>
        <v>424.52</v>
      </c>
      <c r="H17" s="97">
        <f>'Data Sheet'!H26</f>
        <v>676</v>
      </c>
      <c r="I17" s="97">
        <f>'Data Sheet'!I26</f>
        <v>672</v>
      </c>
      <c r="J17" s="97">
        <f>'Data Sheet'!J26</f>
        <v>675</v>
      </c>
      <c r="K17" s="97">
        <f>'Data Sheet'!K26</f>
        <v>969</v>
      </c>
      <c r="L17" s="98">
        <f>SUM(Quarters!H9:K9)</f>
        <v>1979</v>
      </c>
      <c r="M17" s="206"/>
      <c r="N17" s="301" t="s">
        <v>275</v>
      </c>
    </row>
    <row r="18" spans="1:14" x14ac:dyDescent="0.25">
      <c r="A18" s="96" t="s">
        <v>9</v>
      </c>
      <c r="B18" s="97">
        <f>'Data Sheet'!B27</f>
        <v>193.79</v>
      </c>
      <c r="C18" s="97">
        <f>'Data Sheet'!C27</f>
        <v>312</v>
      </c>
      <c r="D18" s="97">
        <f>'Data Sheet'!D27</f>
        <v>414.64</v>
      </c>
      <c r="E18" s="97">
        <f>'Data Sheet'!E27</f>
        <v>428.96</v>
      </c>
      <c r="F18" s="97">
        <f>'Data Sheet'!F27</f>
        <v>485.29</v>
      </c>
      <c r="G18" s="97">
        <f>'Data Sheet'!G27</f>
        <v>517.04</v>
      </c>
      <c r="H18" s="97">
        <f>'Data Sheet'!H27</f>
        <v>704</v>
      </c>
      <c r="I18" s="97">
        <f>'Data Sheet'!I27</f>
        <v>735</v>
      </c>
      <c r="J18" s="97">
        <f>'Data Sheet'!J27</f>
        <v>783</v>
      </c>
      <c r="K18" s="97">
        <f>'Data Sheet'!K27</f>
        <v>963</v>
      </c>
      <c r="L18" s="98">
        <f>SUM(Quarters!H10:K10)</f>
        <v>1699</v>
      </c>
      <c r="M18" s="206"/>
      <c r="N18" s="206"/>
    </row>
    <row r="19" spans="1:14" x14ac:dyDescent="0.25">
      <c r="A19" s="92" t="s">
        <v>82</v>
      </c>
      <c r="B19" s="104">
        <f>(B20+B18)/B18</f>
        <v>4.0894266990040755</v>
      </c>
      <c r="C19" s="104">
        <f t="shared" ref="C19:L19" si="5">(C20+C18)/C18</f>
        <v>3.1296153846153847</v>
      </c>
      <c r="D19" s="104">
        <f t="shared" si="5"/>
        <v>2.7574281304263968</v>
      </c>
      <c r="E19" s="104">
        <f t="shared" si="5"/>
        <v>3.2003916449086192</v>
      </c>
      <c r="F19" s="104">
        <f t="shared" si="5"/>
        <v>3.3831935543695502</v>
      </c>
      <c r="G19" s="104">
        <f t="shared" si="5"/>
        <v>3.7277773479808189</v>
      </c>
      <c r="H19" s="104">
        <f t="shared" si="5"/>
        <v>2.5866477272727271</v>
      </c>
      <c r="I19" s="104">
        <f t="shared" si="5"/>
        <v>3.6149659863945578</v>
      </c>
      <c r="J19" s="104">
        <f t="shared" si="5"/>
        <v>3.9438058748403577</v>
      </c>
      <c r="K19" s="104">
        <f t="shared" si="5"/>
        <v>2.7487019730010385</v>
      </c>
      <c r="L19" s="105">
        <f t="shared" si="5"/>
        <v>2.0488522660388462</v>
      </c>
      <c r="M19" s="301" t="s">
        <v>272</v>
      </c>
      <c r="N19" s="206"/>
    </row>
    <row r="20" spans="1:14" x14ac:dyDescent="0.25">
      <c r="A20" s="96" t="s">
        <v>86</v>
      </c>
      <c r="B20" s="97">
        <f>B12+B14-B17-B18</f>
        <v>598.69999999999982</v>
      </c>
      <c r="C20" s="97">
        <f t="shared" ref="C20:L20" si="6">C12+C14-C17-C18</f>
        <v>664.44</v>
      </c>
      <c r="D20" s="97">
        <f t="shared" si="6"/>
        <v>728.70000000000107</v>
      </c>
      <c r="E20" s="97">
        <f t="shared" si="6"/>
        <v>943.88000000000125</v>
      </c>
      <c r="F20" s="97">
        <f t="shared" si="6"/>
        <v>1156.5399999999991</v>
      </c>
      <c r="G20" s="97">
        <f t="shared" si="6"/>
        <v>1410.3700000000026</v>
      </c>
      <c r="H20" s="97">
        <f t="shared" si="6"/>
        <v>1117</v>
      </c>
      <c r="I20" s="97">
        <f t="shared" si="6"/>
        <v>1922</v>
      </c>
      <c r="J20" s="97">
        <f t="shared" si="6"/>
        <v>2305</v>
      </c>
      <c r="K20" s="97">
        <f t="shared" si="6"/>
        <v>1684</v>
      </c>
      <c r="L20" s="98">
        <f t="shared" si="6"/>
        <v>1782</v>
      </c>
      <c r="M20" s="301"/>
      <c r="N20" s="206"/>
    </row>
    <row r="21" spans="1:14" s="84" customFormat="1" x14ac:dyDescent="0.25">
      <c r="A21" s="92" t="s">
        <v>75</v>
      </c>
      <c r="B21" s="93"/>
      <c r="C21" s="94">
        <f>C20/B20-1</f>
        <v>0.10980457658259613</v>
      </c>
      <c r="D21" s="94">
        <f t="shared" ref="D21" si="7">D20/C20-1</f>
        <v>9.6713021491784179E-2</v>
      </c>
      <c r="E21" s="94">
        <f t="shared" ref="E21" si="8">E20/D20-1</f>
        <v>0.29529298751200739</v>
      </c>
      <c r="F21" s="94">
        <f t="shared" ref="F21" si="9">F20/E20-1</f>
        <v>0.22530406407593917</v>
      </c>
      <c r="G21" s="94">
        <f t="shared" ref="G21" si="10">G20/F20-1</f>
        <v>0.21947360229650825</v>
      </c>
      <c r="H21" s="94">
        <f t="shared" ref="H21" si="11">H20/G20-1</f>
        <v>-0.20800924580074875</v>
      </c>
      <c r="I21" s="94">
        <f t="shared" ref="I21" si="12">I20/H20-1</f>
        <v>0.72068039391226502</v>
      </c>
      <c r="J21" s="94">
        <f t="shared" ref="J21" si="13">J20/I20-1</f>
        <v>0.1992715920915713</v>
      </c>
      <c r="K21" s="94">
        <f t="shared" ref="K21" si="14">K20/J20-1</f>
        <v>-0.26941431670282001</v>
      </c>
      <c r="L21" s="95"/>
      <c r="M21" s="301"/>
      <c r="N21" s="301"/>
    </row>
    <row r="22" spans="1:14" x14ac:dyDescent="0.25">
      <c r="A22" s="92" t="s">
        <v>83</v>
      </c>
      <c r="B22" s="94">
        <f t="shared" ref="B22:L22" si="15">B20/B4</f>
        <v>0.11317494763744694</v>
      </c>
      <c r="C22" s="94">
        <f t="shared" si="15"/>
        <v>0.11534055007394961</v>
      </c>
      <c r="D22" s="94">
        <f t="shared" si="15"/>
        <v>9.4990171183055999E-2</v>
      </c>
      <c r="E22" s="94">
        <f t="shared" si="15"/>
        <v>0.10275536975951764</v>
      </c>
      <c r="F22" s="94">
        <f t="shared" si="15"/>
        <v>0.10737655604741665</v>
      </c>
      <c r="G22" s="94">
        <f t="shared" si="15"/>
        <v>0.11665089673562448</v>
      </c>
      <c r="H22" s="94">
        <f t="shared" si="15"/>
        <v>7.9513097949886105E-2</v>
      </c>
      <c r="I22" s="94">
        <f t="shared" si="15"/>
        <v>0.1178273663560569</v>
      </c>
      <c r="J22" s="94">
        <f t="shared" si="15"/>
        <v>0.13263896881114051</v>
      </c>
      <c r="K22" s="94">
        <f t="shared" si="15"/>
        <v>7.7116820076017764E-2</v>
      </c>
      <c r="L22" s="95">
        <f t="shared" si="15"/>
        <v>5.3771876885938444E-2</v>
      </c>
      <c r="M22" s="206"/>
      <c r="N22" s="206" t="s">
        <v>276</v>
      </c>
    </row>
    <row r="23" spans="1:14" x14ac:dyDescent="0.25">
      <c r="A23" s="96" t="s">
        <v>11</v>
      </c>
      <c r="B23" s="97">
        <f>'Data Sheet'!B29</f>
        <v>85.36</v>
      </c>
      <c r="C23" s="97">
        <f>'Data Sheet'!C29</f>
        <v>73.08</v>
      </c>
      <c r="D23" s="97">
        <f>'Data Sheet'!D29</f>
        <v>128.01</v>
      </c>
      <c r="E23" s="97">
        <f>'Data Sheet'!E29</f>
        <v>203.17</v>
      </c>
      <c r="F23" s="97">
        <f>'Data Sheet'!F29</f>
        <v>221.69</v>
      </c>
      <c r="G23" s="97">
        <f>'Data Sheet'!G29</f>
        <v>244.01</v>
      </c>
      <c r="H23" s="97">
        <f>'Data Sheet'!H29</f>
        <v>165</v>
      </c>
      <c r="I23" s="97">
        <f>'Data Sheet'!I29</f>
        <v>189</v>
      </c>
      <c r="J23" s="97">
        <f>'Data Sheet'!J29</f>
        <v>275</v>
      </c>
      <c r="K23" s="97">
        <f>'Data Sheet'!K29</f>
        <v>165</v>
      </c>
      <c r="L23" s="98">
        <f>SUM(Quarters!H14:K14)</f>
        <v>279</v>
      </c>
      <c r="M23" s="206"/>
      <c r="N23" s="206"/>
    </row>
    <row r="24" spans="1:14" s="84" customFormat="1" x14ac:dyDescent="0.25">
      <c r="A24" s="89" t="s">
        <v>12</v>
      </c>
      <c r="B24" s="90">
        <f>B20-B23</f>
        <v>513.3399999999998</v>
      </c>
      <c r="C24" s="90">
        <f t="shared" ref="C24:L24" si="16">C20-C23</f>
        <v>591.36</v>
      </c>
      <c r="D24" s="90">
        <f t="shared" si="16"/>
        <v>600.69000000000108</v>
      </c>
      <c r="E24" s="90">
        <f t="shared" si="16"/>
        <v>740.71000000000129</v>
      </c>
      <c r="F24" s="90">
        <f t="shared" si="16"/>
        <v>934.849999999999</v>
      </c>
      <c r="G24" s="90">
        <f t="shared" si="16"/>
        <v>1166.3600000000026</v>
      </c>
      <c r="H24" s="90">
        <f t="shared" si="16"/>
        <v>952</v>
      </c>
      <c r="I24" s="90">
        <f t="shared" si="16"/>
        <v>1733</v>
      </c>
      <c r="J24" s="90">
        <f t="shared" si="16"/>
        <v>2030</v>
      </c>
      <c r="K24" s="90">
        <f t="shared" si="16"/>
        <v>1519</v>
      </c>
      <c r="L24" s="91">
        <f t="shared" si="16"/>
        <v>1503</v>
      </c>
      <c r="M24" s="301"/>
      <c r="N24" s="301"/>
    </row>
    <row r="25" spans="1:14" s="84" customFormat="1" x14ac:dyDescent="0.25">
      <c r="A25" s="92" t="s">
        <v>75</v>
      </c>
      <c r="B25" s="93"/>
      <c r="C25" s="94">
        <f>C24/B24-1</f>
        <v>0.15198503915533612</v>
      </c>
      <c r="D25" s="94">
        <f t="shared" ref="D25" si="17">D24/C24-1</f>
        <v>1.577719155844326E-2</v>
      </c>
      <c r="E25" s="94">
        <f t="shared" ref="E25" si="18">E24/D24-1</f>
        <v>0.23309860327290277</v>
      </c>
      <c r="F25" s="94">
        <f t="shared" ref="F25" si="19">F24/E24-1</f>
        <v>0.26209987714489791</v>
      </c>
      <c r="G25" s="94">
        <f t="shared" ref="G25" si="20">G24/F24-1</f>
        <v>0.24764400705996037</v>
      </c>
      <c r="H25" s="94">
        <f t="shared" ref="H25" si="21">H24/G24-1</f>
        <v>-0.1837854521760024</v>
      </c>
      <c r="I25" s="94">
        <f t="shared" ref="I25" si="22">I24/H24-1</f>
        <v>0.82037815126050417</v>
      </c>
      <c r="J25" s="94">
        <f t="shared" ref="J25" si="23">J24/I24-1</f>
        <v>0.17137911136757067</v>
      </c>
      <c r="K25" s="94">
        <f t="shared" ref="K25" si="24">K24/J24-1</f>
        <v>-0.25172413793103443</v>
      </c>
      <c r="L25" s="95"/>
      <c r="M25" s="301"/>
      <c r="N25" s="301"/>
    </row>
    <row r="26" spans="1:14" x14ac:dyDescent="0.25">
      <c r="A26" s="92" t="s">
        <v>74</v>
      </c>
      <c r="B26" s="94">
        <f t="shared" ref="B26:L26" si="25">B24/B4</f>
        <v>9.7038963788553548E-2</v>
      </c>
      <c r="C26" s="94">
        <f t="shared" si="25"/>
        <v>0.10265454772700444</v>
      </c>
      <c r="D26" s="94">
        <f t="shared" si="25"/>
        <v>7.8303342840606457E-2</v>
      </c>
      <c r="E26" s="94">
        <f t="shared" si="25"/>
        <v>8.0637294925808733E-2</v>
      </c>
      <c r="F26" s="94">
        <f t="shared" si="25"/>
        <v>8.6794208086990024E-2</v>
      </c>
      <c r="G26" s="94">
        <f t="shared" si="25"/>
        <v>9.6468969076599076E-2</v>
      </c>
      <c r="H26" s="94">
        <f t="shared" si="25"/>
        <v>6.7767653758542143E-2</v>
      </c>
      <c r="I26" s="94">
        <f t="shared" si="25"/>
        <v>0.1062408043158411</v>
      </c>
      <c r="J26" s="94">
        <f t="shared" si="25"/>
        <v>0.11681436298768558</v>
      </c>
      <c r="K26" s="94">
        <f t="shared" si="25"/>
        <v>6.9560837111324811E-2</v>
      </c>
      <c r="L26" s="95">
        <f t="shared" si="25"/>
        <v>4.5353047676523837E-2</v>
      </c>
      <c r="M26" s="301"/>
      <c r="N26" s="206"/>
    </row>
    <row r="27" spans="1:14" x14ac:dyDescent="0.25">
      <c r="A27" s="96" t="s">
        <v>42</v>
      </c>
      <c r="B27" s="106">
        <f>IF('Data Sheet'!B93&gt;0,B24/'Data Sheet'!B93,0)</f>
        <v>11.678401882478116</v>
      </c>
      <c r="C27" s="106">
        <f>IF('Data Sheet'!C93&gt;0,C24/'Data Sheet'!C93,0)</f>
        <v>12.805425009990271</v>
      </c>
      <c r="D27" s="106">
        <f>IF('Data Sheet'!D93&gt;0,D24/'Data Sheet'!D93,0)</f>
        <v>13.007458653360169</v>
      </c>
      <c r="E27" s="106">
        <f>IF('Data Sheet'!E93&gt;0,E24/'Data Sheet'!E93,0)</f>
        <v>16.735265416799869</v>
      </c>
      <c r="F27" s="106">
        <f>IF('Data Sheet'!F93&gt;0,F24/'Data Sheet'!F93,0)</f>
        <v>21.811495048227144</v>
      </c>
      <c r="G27" s="106">
        <f>IF('Data Sheet'!G93&gt;0,G24/'Data Sheet'!G93,0)</f>
        <v>27.212981081938597</v>
      </c>
      <c r="H27" s="106">
        <f>IF('Data Sheet'!H93&gt;0,H24/'Data Sheet'!H93,0)</f>
        <v>22.211631048737512</v>
      </c>
      <c r="I27" s="106">
        <f>IF('Data Sheet'!I93&gt;0,I24/'Data Sheet'!I93,0)</f>
        <v>34.18030552570022</v>
      </c>
      <c r="J27" s="106">
        <f>IF('Data Sheet'!J93&gt;0,J24/'Data Sheet'!J93,0)</f>
        <v>39.856040687842146</v>
      </c>
      <c r="K27" s="106">
        <f>IF('Data Sheet'!K93&gt;0,K24/'Data Sheet'!K93,0)</f>
        <v>29.82331320435085</v>
      </c>
      <c r="L27" s="107">
        <f>IF('Data Sheet'!$B6&gt;0,'Profit &amp; Loss'!L24/'Data Sheet'!$B6,0)</f>
        <v>19.671604079675376</v>
      </c>
      <c r="M27" s="206"/>
      <c r="N27" s="206"/>
    </row>
    <row r="28" spans="1:14" s="84" customFormat="1" x14ac:dyDescent="0.25">
      <c r="A28" s="92" t="s">
        <v>75</v>
      </c>
      <c r="B28" s="93"/>
      <c r="C28" s="94">
        <f>C27/B27-1</f>
        <v>9.6504910419558554E-2</v>
      </c>
      <c r="D28" s="94">
        <f t="shared" ref="D28" si="26">D27/C27-1</f>
        <v>1.577719155844326E-2</v>
      </c>
      <c r="E28" s="94">
        <f t="shared" ref="E28" si="27">E27/D27-1</f>
        <v>0.28658993757221829</v>
      </c>
      <c r="F28" s="94">
        <f t="shared" ref="F28" si="28">F27/E27-1</f>
        <v>0.3033253136416616</v>
      </c>
      <c r="G28" s="94">
        <f t="shared" ref="G28" si="29">G27/F27-1</f>
        <v>0.24764400705996037</v>
      </c>
      <c r="H28" s="94">
        <f t="shared" ref="H28" si="30">H27/G27-1</f>
        <v>-0.1837854521760024</v>
      </c>
      <c r="I28" s="94">
        <f t="shared" ref="I28" si="31">I27/H27-1</f>
        <v>0.53884716753581197</v>
      </c>
      <c r="J28" s="94">
        <f t="shared" ref="J28" si="32">J27/I27-1</f>
        <v>0.16605279194693945</v>
      </c>
      <c r="K28" s="94">
        <f t="shared" ref="K28" si="33">K27/J27-1</f>
        <v>-0.25172413793103443</v>
      </c>
      <c r="L28" s="95"/>
      <c r="M28" s="301"/>
      <c r="N28" s="301"/>
    </row>
    <row r="29" spans="1:14" s="84" customFormat="1" x14ac:dyDescent="0.25">
      <c r="A29" s="251" t="s">
        <v>196</v>
      </c>
      <c r="B29" s="256">
        <f>B24+B18</f>
        <v>707.12999999999977</v>
      </c>
      <c r="C29" s="256">
        <f t="shared" ref="C29:K29" si="34">C24+C18</f>
        <v>903.36</v>
      </c>
      <c r="D29" s="256">
        <f t="shared" si="34"/>
        <v>1015.3300000000011</v>
      </c>
      <c r="E29" s="256">
        <f t="shared" si="34"/>
        <v>1169.6700000000012</v>
      </c>
      <c r="F29" s="256">
        <f t="shared" si="34"/>
        <v>1420.139999999999</v>
      </c>
      <c r="G29" s="256">
        <f t="shared" si="34"/>
        <v>1683.4000000000026</v>
      </c>
      <c r="H29" s="256">
        <f t="shared" si="34"/>
        <v>1656</v>
      </c>
      <c r="I29" s="256">
        <f t="shared" si="34"/>
        <v>2468</v>
      </c>
      <c r="J29" s="256">
        <f t="shared" si="34"/>
        <v>2813</v>
      </c>
      <c r="K29" s="256">
        <f t="shared" si="34"/>
        <v>2482</v>
      </c>
      <c r="L29" s="257"/>
      <c r="M29" s="301"/>
      <c r="N29" s="301"/>
    </row>
    <row r="30" spans="1:14" x14ac:dyDescent="0.25">
      <c r="A30" s="255" t="s">
        <v>179</v>
      </c>
      <c r="B30" s="108">
        <f t="shared" ref="B30:K30" si="35">IF(B31&gt;0,B31/B27,"")</f>
        <v>8.5174325221023146</v>
      </c>
      <c r="C30" s="108">
        <f t="shared" si="35"/>
        <v>7.7802962355620942</v>
      </c>
      <c r="D30" s="108">
        <f t="shared" si="35"/>
        <v>6.6677129108225426</v>
      </c>
      <c r="E30" s="108">
        <f t="shared" si="35"/>
        <v>4.6769500244333049</v>
      </c>
      <c r="F30" s="108">
        <f t="shared" si="35"/>
        <v>5.6378528719880254</v>
      </c>
      <c r="G30" s="108">
        <f t="shared" si="35"/>
        <v>10.831962845689127</v>
      </c>
      <c r="H30" s="108">
        <f t="shared" si="35"/>
        <v>14.337983523191177</v>
      </c>
      <c r="I30" s="108">
        <f t="shared" si="35"/>
        <v>14.177755071136758</v>
      </c>
      <c r="J30" s="108">
        <f t="shared" si="35"/>
        <v>12.214710533164039</v>
      </c>
      <c r="K30" s="108">
        <f t="shared" si="35"/>
        <v>21.433902920844634</v>
      </c>
      <c r="L30" s="109">
        <f t="shared" ref="L30" si="36">IF(L27&gt;0,L31/L27,0)</f>
        <v>21.353113772455089</v>
      </c>
      <c r="M30" s="301"/>
      <c r="N30" s="206"/>
    </row>
    <row r="31" spans="1:14" s="84" customFormat="1" x14ac:dyDescent="0.25">
      <c r="A31" s="89" t="s">
        <v>43</v>
      </c>
      <c r="B31" s="90">
        <f>'Data Sheet'!B90</f>
        <v>99.47</v>
      </c>
      <c r="C31" s="90">
        <f>'Data Sheet'!C90</f>
        <v>99.63</v>
      </c>
      <c r="D31" s="90">
        <f>'Data Sheet'!D90</f>
        <v>86.73</v>
      </c>
      <c r="E31" s="90">
        <f>'Data Sheet'!E90</f>
        <v>78.27</v>
      </c>
      <c r="F31" s="90">
        <f>'Data Sheet'!F90</f>
        <v>122.97</v>
      </c>
      <c r="G31" s="90">
        <f>'Data Sheet'!G90</f>
        <v>294.77</v>
      </c>
      <c r="H31" s="90">
        <f>'Data Sheet'!H90</f>
        <v>318.47000000000003</v>
      </c>
      <c r="I31" s="90">
        <f>'Data Sheet'!I90</f>
        <v>484.6</v>
      </c>
      <c r="J31" s="90">
        <f>'Data Sheet'!J90</f>
        <v>486.83</v>
      </c>
      <c r="K31" s="90">
        <f>'Data Sheet'!K90</f>
        <v>639.23</v>
      </c>
      <c r="L31" s="91">
        <f>'Data Sheet'!B8</f>
        <v>420.05</v>
      </c>
      <c r="M31" s="301"/>
      <c r="N31" s="301"/>
    </row>
    <row r="32" spans="1:14" x14ac:dyDescent="0.25">
      <c r="A32" s="96" t="s">
        <v>13</v>
      </c>
      <c r="B32" s="110">
        <f>IF('Data Sheet'!B30&gt;0, 'Data Sheet'!B31/'Data Sheet'!B30, 0)</f>
        <v>0.16707845522274595</v>
      </c>
      <c r="C32" s="110">
        <f>IF('Data Sheet'!C30&gt;0, 'Data Sheet'!C31/'Data Sheet'!C30, 0)</f>
        <v>0.16563250959434742</v>
      </c>
      <c r="D32" s="110">
        <f>IF('Data Sheet'!D30&gt;0, 'Data Sheet'!D31/'Data Sheet'!D30, 0)</f>
        <v>0.20781207812078123</v>
      </c>
      <c r="E32" s="110">
        <f>IF('Data Sheet'!E30&gt;0, 'Data Sheet'!E31/'Data Sheet'!E30, 0)</f>
        <v>0.14284792150787504</v>
      </c>
      <c r="F32" s="110">
        <f>IF('Data Sheet'!F30&gt;0, 'Data Sheet'!F31/'Data Sheet'!F30, 0)</f>
        <v>0.18050305857084198</v>
      </c>
      <c r="G32" s="110">
        <f>IF('Data Sheet'!G30&gt;0, 'Data Sheet'!G31/'Data Sheet'!G30, 0)</f>
        <v>0.18732026258052675</v>
      </c>
      <c r="H32" s="110">
        <f>IF('Data Sheet'!H30&gt;0, 'Data Sheet'!H31/'Data Sheet'!H30, 0)</f>
        <v>0.22872340425531915</v>
      </c>
      <c r="I32" s="110">
        <f>IF('Data Sheet'!I30&gt;0, 'Data Sheet'!I31/'Data Sheet'!I30, 0)</f>
        <v>0.20469021424435438</v>
      </c>
      <c r="J32" s="110">
        <f>IF('Data Sheet'!J30&gt;0, 'Data Sheet'!J31/'Data Sheet'!J30, 0)</f>
        <v>0.20178041543026706</v>
      </c>
      <c r="K32" s="110">
        <f>IF('Data Sheet'!K30&gt;0, 'Data Sheet'!K31/'Data Sheet'!K30, 0)</f>
        <v>0.2819626814098134</v>
      </c>
      <c r="L32" s="111"/>
      <c r="M32" s="206"/>
      <c r="N32" s="206"/>
    </row>
    <row r="33" spans="1:14" x14ac:dyDescent="0.25">
      <c r="A33" s="96" t="s">
        <v>120</v>
      </c>
      <c r="B33" s="97">
        <f>B31*'Data Sheet'!B93</f>
        <v>4372.3388108959998</v>
      </c>
      <c r="C33" s="97">
        <f>C31*'Data Sheet'!C93</f>
        <v>4600.955981862</v>
      </c>
      <c r="D33" s="97">
        <f>D31*'Data Sheet'!D93</f>
        <v>4005.2284684020001</v>
      </c>
      <c r="E33" s="97">
        <f>E31*'Data Sheet'!E93</f>
        <v>3464.2636525979997</v>
      </c>
      <c r="F33" s="97">
        <f>F31*'Data Sheet'!F93</f>
        <v>5270.5467573779997</v>
      </c>
      <c r="G33" s="97">
        <f>G31*'Data Sheet'!G93</f>
        <v>12633.968184697998</v>
      </c>
      <c r="H33" s="97">
        <f>H31*'Data Sheet'!H93</f>
        <v>13649.760314078001</v>
      </c>
      <c r="I33" s="97">
        <f>I31*'Data Sheet'!I93</f>
        <v>24570.04953828</v>
      </c>
      <c r="J33" s="97">
        <f>J31*'Data Sheet'!J93</f>
        <v>24795.862382322997</v>
      </c>
      <c r="K33" s="97">
        <f>K31*'Data Sheet'!K93</f>
        <v>32558.098536762998</v>
      </c>
      <c r="L33" s="98"/>
      <c r="M33" s="206"/>
      <c r="N33" s="206"/>
    </row>
    <row r="34" spans="1:14" x14ac:dyDescent="0.25">
      <c r="A34" s="96" t="s">
        <v>121</v>
      </c>
      <c r="B34" s="97">
        <f>B24*(1-B32)</f>
        <v>427.5719457959554</v>
      </c>
      <c r="C34" s="97">
        <f t="shared" ref="C34:K34" si="37">C24*(1-C32)</f>
        <v>493.41155912628676</v>
      </c>
      <c r="D34" s="97">
        <f t="shared" si="37"/>
        <v>475.85936279362875</v>
      </c>
      <c r="E34" s="97">
        <f t="shared" si="37"/>
        <v>634.90111605990296</v>
      </c>
      <c r="F34" s="97">
        <f t="shared" si="37"/>
        <v>766.10671569504746</v>
      </c>
      <c r="G34" s="97">
        <f t="shared" si="37"/>
        <v>947.87713853657885</v>
      </c>
      <c r="H34" s="97">
        <f t="shared" si="37"/>
        <v>734.25531914893622</v>
      </c>
      <c r="I34" s="97">
        <f t="shared" si="37"/>
        <v>1378.2718587145339</v>
      </c>
      <c r="J34" s="97">
        <f t="shared" si="37"/>
        <v>1620.385756676558</v>
      </c>
      <c r="K34" s="97">
        <f t="shared" si="37"/>
        <v>1090.6986869384934</v>
      </c>
      <c r="L34" s="111"/>
      <c r="M34" s="303"/>
      <c r="N34" s="303"/>
    </row>
    <row r="35" spans="1:14" x14ac:dyDescent="0.25">
      <c r="A35" s="9" t="s">
        <v>209</v>
      </c>
      <c r="B35" s="254">
        <f>B33+'Balance Sheet'!B23</f>
        <v>5213.8688108959996</v>
      </c>
      <c r="C35" s="254">
        <f>C33+'Balance Sheet'!C23</f>
        <v>5713.7659818620004</v>
      </c>
      <c r="D35" s="254">
        <f>D33+'Balance Sheet'!D23</f>
        <v>6694.1584684019999</v>
      </c>
      <c r="E35" s="254">
        <f>E33+'Balance Sheet'!E23</f>
        <v>6119.3536525979998</v>
      </c>
      <c r="F35" s="254">
        <f>F33+'Balance Sheet'!F23</f>
        <v>7597.2567573779997</v>
      </c>
      <c r="G35" s="254">
        <f>G33+'Balance Sheet'!G23</f>
        <v>14904.748184697999</v>
      </c>
      <c r="H35" s="254">
        <f>H33+'Balance Sheet'!H23</f>
        <v>17718.760314078001</v>
      </c>
      <c r="I35" s="254">
        <f>I33+'Balance Sheet'!I23</f>
        <v>28036.04953828</v>
      </c>
      <c r="J35" s="254">
        <f>J33+'Balance Sheet'!J23</f>
        <v>28539.862382322997</v>
      </c>
      <c r="K35" s="254">
        <f>K33+'Balance Sheet'!K23</f>
        <v>58847.098536762998</v>
      </c>
      <c r="L35" s="254"/>
      <c r="M35" s="300"/>
      <c r="N35" s="9"/>
    </row>
    <row r="36" spans="1:14" x14ac:dyDescent="0.25">
      <c r="A36" s="230" t="s">
        <v>223</v>
      </c>
      <c r="B36" s="258">
        <f>Annual[[#Totals],[Column2]]/B16</f>
        <v>5.1766487066948645</v>
      </c>
      <c r="C36" s="258">
        <f>Annual[[#Totals],[Column3]]/C16</f>
        <v>4.8005158471081462</v>
      </c>
      <c r="D36" s="258">
        <f>Annual[[#Totals],[Column4]]/D16</f>
        <v>4.6625793806605715</v>
      </c>
      <c r="E36" s="258">
        <f>Annual[[#Totals],[Column5]]/E16</f>
        <v>3.5442461614991632</v>
      </c>
      <c r="F36" s="258">
        <f>Annual[[#Totals],[Column6]]/F16</f>
        <v>3.7082038283350514</v>
      </c>
      <c r="G36" s="258">
        <f>Annual[[#Totals],[Column7]]/G16</f>
        <v>6.3372414079917272</v>
      </c>
      <c r="H36" s="258">
        <f>Annual[[#Totals],[Column8]]/H16</f>
        <v>7.0960193488498202</v>
      </c>
      <c r="I36" s="258">
        <f>Annual[[#Totals],[Column9]]/I16</f>
        <v>8.4217631535836581</v>
      </c>
      <c r="J36" s="258">
        <f>Annual[[#Totals],[Column10]]/J16</f>
        <v>7.5843375982787666</v>
      </c>
      <c r="K36" s="258">
        <f>Annual[[#Totals],[Column11]]/K16</f>
        <v>16.274086984724281</v>
      </c>
      <c r="L36" s="259"/>
    </row>
    <row r="37" spans="1:14" x14ac:dyDescent="0.25">
      <c r="B37" s="112"/>
      <c r="C37" s="112"/>
      <c r="D37" s="112"/>
      <c r="E37" s="112"/>
      <c r="F37" s="112"/>
      <c r="G37" s="112"/>
      <c r="H37" s="112"/>
      <c r="I37" s="112"/>
      <c r="J37" s="112"/>
      <c r="K37" s="112"/>
      <c r="L37" s="112"/>
    </row>
    <row r="38" spans="1:14" s="88" customFormat="1" x14ac:dyDescent="0.25">
      <c r="A38" s="113" t="s">
        <v>15</v>
      </c>
      <c r="B38" s="113" t="s">
        <v>49</v>
      </c>
      <c r="C38" s="113" t="s">
        <v>50</v>
      </c>
      <c r="D38" s="113" t="s">
        <v>51</v>
      </c>
      <c r="E38" s="113" t="s">
        <v>52</v>
      </c>
    </row>
    <row r="39" spans="1:14" s="84" customFormat="1" x14ac:dyDescent="0.25">
      <c r="A39" s="114" t="s">
        <v>16</v>
      </c>
      <c r="B39" s="115">
        <f>(K4/B4)^(1/9)-1</f>
        <v>0.17061717291264822</v>
      </c>
      <c r="C39" s="115">
        <f>(K4/D4)^(1/7)-1</f>
        <v>0.16118994852489332</v>
      </c>
      <c r="D39" s="115">
        <f>(K4/F4)^(1/5)-1</f>
        <v>0.15182992463010403</v>
      </c>
      <c r="E39" s="115">
        <f>(K4/H4)^(1/3)-1</f>
        <v>0.15840251526117988</v>
      </c>
    </row>
    <row r="40" spans="1:14" s="84" customFormat="1" x14ac:dyDescent="0.25">
      <c r="A40" s="114" t="s">
        <v>119</v>
      </c>
      <c r="B40" s="115">
        <f>(K20/B20)^(1/9)-1</f>
        <v>0.12176955152571978</v>
      </c>
      <c r="C40" s="115">
        <f>(K20/D20)^(1/7)-1</f>
        <v>0.127120824856642</v>
      </c>
      <c r="D40" s="115">
        <f>(K20/F20)^(1/5)-1</f>
        <v>7.8043501234593693E-2</v>
      </c>
      <c r="E40" s="115">
        <f>(K20/H20)^(1/3)-1</f>
        <v>0.14664673302663056</v>
      </c>
    </row>
    <row r="41" spans="1:14" x14ac:dyDescent="0.25">
      <c r="A41" s="114" t="s">
        <v>83</v>
      </c>
      <c r="B41" s="115">
        <f>AVERAGE(B22:K22)</f>
        <v>0.10573847446301125</v>
      </c>
      <c r="C41" s="115">
        <f>AVERAGE(E22:K22)</f>
        <v>0.10483986796223713</v>
      </c>
      <c r="D41" s="115">
        <f>AVERAGE(G22:K22)</f>
        <v>0.10474942998574514</v>
      </c>
      <c r="E41" s="115">
        <f>AVERAGE(I22:K22)</f>
        <v>0.10919438508107172</v>
      </c>
      <c r="F41" s="84"/>
    </row>
    <row r="42" spans="1:14" x14ac:dyDescent="0.25">
      <c r="A42" s="114" t="s">
        <v>17</v>
      </c>
      <c r="B42" s="108">
        <f>AVERAGE(B30:K30)</f>
        <v>10.627655945893402</v>
      </c>
      <c r="C42" s="108">
        <f>AVERAGE(E30:K30)</f>
        <v>11.901588255778151</v>
      </c>
      <c r="D42" s="108">
        <f>AVERAGE(G30:K30)</f>
        <v>14.599262978805147</v>
      </c>
      <c r="E42" s="108">
        <f>AVERAGE(I30:K30)</f>
        <v>15.942122841715141</v>
      </c>
      <c r="F42" s="84"/>
    </row>
    <row r="43" spans="1:14" x14ac:dyDescent="0.25">
      <c r="A43" s="9" t="s">
        <v>223</v>
      </c>
      <c r="B43" s="108">
        <f>AVERAGE(B36:K36)</f>
        <v>6.7605642417726042</v>
      </c>
      <c r="C43" s="108">
        <f>AVERAGE(E36:K36)</f>
        <v>7.5665569261803522</v>
      </c>
      <c r="D43" s="108">
        <f>AVERAGE(G36:K36)</f>
        <v>9.1426896986856523</v>
      </c>
      <c r="E43" s="108">
        <f>AVERAGE(I36:K36)</f>
        <v>10.760062578862238</v>
      </c>
      <c r="F43" s="84"/>
    </row>
    <row r="44" spans="1:14" x14ac:dyDescent="0.25">
      <c r="A44" s="321" t="s">
        <v>142</v>
      </c>
      <c r="B44" s="322"/>
      <c r="C44" s="322"/>
      <c r="D44" s="322"/>
      <c r="E44" s="322"/>
    </row>
    <row r="45" spans="1:14" x14ac:dyDescent="0.25">
      <c r="A45" s="322"/>
      <c r="B45" s="322"/>
      <c r="C45" s="322"/>
      <c r="D45" s="322"/>
      <c r="E45" s="322"/>
    </row>
    <row r="46" spans="1:14" x14ac:dyDescent="0.25">
      <c r="A46" s="322"/>
      <c r="B46" s="322"/>
      <c r="C46" s="322"/>
      <c r="D46" s="322"/>
      <c r="E46" s="322"/>
    </row>
    <row r="47" spans="1:14" x14ac:dyDescent="0.25">
      <c r="A47" s="322"/>
      <c r="B47" s="322"/>
      <c r="C47" s="322"/>
      <c r="D47" s="322"/>
      <c r="E47" s="322"/>
    </row>
  </sheetData>
  <mergeCells count="3">
    <mergeCell ref="A44:E47"/>
    <mergeCell ref="A1:L1"/>
    <mergeCell ref="A2:L2"/>
  </mergeCells>
  <printOptions gridLines="1"/>
  <pageMargins left="0.7" right="0.7" top="0.75" bottom="0.75" header="0.3" footer="0.3"/>
  <pageSetup paperSize="9" orientation="landscape" horizontalDpi="300" verticalDpi="300" r:id="rId1"/>
  <tableParts count="1">
    <tablePart r:id="rId2"/>
  </tableParts>
  <extLst>
    <ext xmlns:x14="http://schemas.microsoft.com/office/spreadsheetml/2009/9/main" uri="{05C60535-1F16-4fd2-B633-F4F36F0B64E0}">
      <x14:sparklineGroups xmlns:xm="http://schemas.microsoft.com/office/excel/2006/main">
        <x14:sparklineGroup type="column" displayEmptyCellsAs="gap" xr2:uid="{FDC82DD4-476C-43CC-A9E8-F41FF9A56A93}">
          <x14:colorSeries rgb="FFC00000"/>
          <x14:colorNegative rgb="FFD00000"/>
          <x14:colorAxis rgb="FF000000"/>
          <x14:colorMarkers rgb="FFD00000"/>
          <x14:colorFirst rgb="FFD00000"/>
          <x14:colorLast rgb="FFD00000"/>
          <x14:colorHigh rgb="FFD00000"/>
          <x14:colorLow rgb="FFD00000"/>
          <x14:sparklines>
            <x14:sparkline>
              <xm:f>'Profit &amp; Loss'!G16:N16</xm:f>
              <xm:sqref>M16</xm:sqref>
            </x14:sparkline>
          </x14:sparklines>
        </x14:sparklineGroup>
        <x14:sparklineGroup type="column" displayEmptyCellsAs="gap" xr2:uid="{94601536-7D7C-4154-B09C-6C817ED3C9E0}">
          <x14:colorSeries rgb="FFC00000"/>
          <x14:colorNegative rgb="FFD00000"/>
          <x14:colorAxis rgb="FF000000"/>
          <x14:colorMarkers rgb="FFD00000"/>
          <x14:colorFirst rgb="FFD00000"/>
          <x14:colorLast rgb="FFD00000"/>
          <x14:colorHigh rgb="FFD00000"/>
          <x14:colorLow rgb="FFD00000"/>
          <x14:sparklines>
            <x14:sparkline>
              <xm:f>'Profit &amp; Loss'!G4:N4</xm:f>
              <xm:sqref>M4</xm:sqref>
            </x14:sparkline>
          </x14:sparklines>
        </x14:sparklineGroup>
        <x14:sparklineGroup type="column" displayEmptyCellsAs="gap" xr2:uid="{4E4C0FBF-DECA-4A6B-A41B-B74A2693260A}">
          <x14:colorSeries rgb="FFC00000"/>
          <x14:colorNegative rgb="FFD00000"/>
          <x14:colorAxis rgb="FF000000"/>
          <x14:colorMarkers rgb="FFD00000"/>
          <x14:colorFirst rgb="FFD00000"/>
          <x14:colorLast rgb="FFD00000"/>
          <x14:colorHigh rgb="FFD00000"/>
          <x14:colorLow rgb="FFD00000"/>
          <x14:sparklines>
            <x14:sparkline>
              <xm:f>'Profit &amp; Loss'!G12:N12</xm:f>
              <xm:sqref>M12</xm:sqref>
            </x14:sparkline>
          </x14:sparklines>
        </x14:sparklineGroup>
        <x14:sparklineGroup type="column" displayEmptyCellsAs="gap" xr2:uid="{B7A36FED-F0D9-4A2F-ABC9-662E6834AD5F}">
          <x14:colorSeries rgb="FFC00000"/>
          <x14:colorNegative rgb="FFD00000"/>
          <x14:colorAxis rgb="FF000000"/>
          <x14:colorMarkers rgb="FFD00000"/>
          <x14:colorFirst rgb="FFD00000"/>
          <x14:colorLast rgb="FFD00000"/>
          <x14:colorHigh rgb="FFD00000"/>
          <x14:colorLow rgb="FFD00000"/>
          <x14:sparklines>
            <x14:sparkline>
              <xm:f>'Profit &amp; Loss'!G20:N20</xm:f>
              <xm:sqref>M20</xm:sqref>
            </x14:sparkline>
          </x14:sparklines>
        </x14:sparklineGroup>
        <x14:sparklineGroup type="column" displayEmptyCellsAs="gap" xr2:uid="{5B52F889-DFE6-4521-AAE9-453782F932D5}">
          <x14:colorSeries rgb="FFC00000"/>
          <x14:colorNegative rgb="FFD00000"/>
          <x14:colorAxis rgb="FF000000"/>
          <x14:colorMarkers rgb="FFD00000"/>
          <x14:colorFirst rgb="FFD00000"/>
          <x14:colorLast rgb="FFD00000"/>
          <x14:colorHigh rgb="FFD00000"/>
          <x14:colorLow rgb="FFD00000"/>
          <x14:sparklines>
            <x14:sparkline>
              <xm:f>'Profit &amp; Loss'!G24:N24</xm:f>
              <xm:sqref>M24</xm:sqref>
            </x14:sparkline>
          </x14:sparklines>
        </x14:sparklineGroup>
        <x14:sparklineGroup type="column" displayEmptyCellsAs="gap" xr2:uid="{64E9220B-C344-496E-BFB5-655119B3D7B3}">
          <x14:colorSeries rgb="FFC00000"/>
          <x14:colorNegative rgb="FFD00000"/>
          <x14:colorAxis rgb="FF000000"/>
          <x14:colorMarkers rgb="FFD00000"/>
          <x14:colorFirst rgb="FFD00000"/>
          <x14:colorLast rgb="FFD00000"/>
          <x14:colorHigh rgb="FFD00000"/>
          <x14:colorLow rgb="FFD00000"/>
          <x14:sparklines>
            <x14:sparkline>
              <xm:f>'Profit &amp; Loss'!B39:E39</xm:f>
              <xm:sqref>F39</xm:sqref>
            </x14:sparkline>
          </x14:sparklines>
        </x14:sparklineGroup>
        <x14:sparklineGroup type="column" displayEmptyCellsAs="gap" xr2:uid="{22DC0198-1B36-4056-95B7-1D2DD1F16073}">
          <x14:colorSeries rgb="FFC00000"/>
          <x14:colorNegative rgb="FFD00000"/>
          <x14:colorAxis rgb="FF000000"/>
          <x14:colorMarkers rgb="FFD00000"/>
          <x14:colorFirst rgb="FFD00000"/>
          <x14:colorLast rgb="FFD00000"/>
          <x14:colorHigh rgb="FFD00000"/>
          <x14:colorLow rgb="FFD00000"/>
          <x14:sparklines>
            <x14:sparkline>
              <xm:f>'Profit &amp; Loss'!B40:E40</xm:f>
              <xm:sqref>F40</xm:sqref>
            </x14:sparkline>
            <x14:sparkline>
              <xm:f>'Profit &amp; Loss'!B41:E41</xm:f>
              <xm:sqref>F41</xm:sqref>
            </x14:sparkline>
            <x14:sparkline>
              <xm:f>'Profit &amp; Loss'!B42:E42</xm:f>
              <xm:sqref>F42</xm:sqref>
            </x14:sparkline>
            <x14:sparkline>
              <xm:f>'Profit &amp; Loss'!B43:E43</xm:f>
              <xm:sqref>F43</xm:sqref>
            </x14:sparkline>
          </x14:sparklines>
        </x14:sparklineGroup>
        <x14:sparklineGroup type="column" displayEmptyCellsAs="gap" xr2:uid="{68CFE33C-4EFA-44F6-908D-C598ED18BC72}">
          <x14:colorSeries rgb="FFC00000"/>
          <x14:colorNegative rgb="FFD00000"/>
          <x14:colorAxis rgb="FF000000"/>
          <x14:colorMarkers rgb="FFD00000"/>
          <x14:colorFirst rgb="FFD00000"/>
          <x14:colorLast rgb="FFD00000"/>
          <x14:colorHigh rgb="FFD00000"/>
          <x14:colorLow rgb="FFD00000"/>
          <x14:sparklines>
            <x14:sparkline>
              <xm:f>'Profit &amp; Loss'!G26:N26</xm:f>
              <xm:sqref>M26</xm:sqref>
            </x14:sparkline>
          </x14:sparklines>
        </x14:sparklineGroup>
        <x14:sparklineGroup type="column" displayEmptyCellsAs="gap" xr2:uid="{6E7D59D1-1D98-4F28-9EF0-5E0AA5D86DF4}">
          <x14:colorSeries rgb="FFC00000"/>
          <x14:colorNegative rgb="FFD00000"/>
          <x14:colorAxis rgb="FF000000"/>
          <x14:colorMarkers rgb="FFD00000"/>
          <x14:colorFirst rgb="FFD00000"/>
          <x14:colorLast rgb="FFD00000"/>
          <x14:colorHigh rgb="FFD00000"/>
          <x14:colorLow rgb="FFD00000"/>
          <x14:sparklines>
            <x14:sparkline>
              <xm:f>'Profit &amp; Loss'!G30:N30</xm:f>
              <xm:sqref>M30</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M28"/>
  <sheetViews>
    <sheetView workbookViewId="0">
      <pane xSplit="1" ySplit="3" topLeftCell="B8" activePane="bottomRight" state="frozen"/>
      <selection pane="topRight" activeCell="B1" sqref="B1"/>
      <selection pane="bottomLeft" activeCell="A4" sqref="A4"/>
      <selection pane="bottomRight" activeCell="L19" sqref="L19"/>
    </sheetView>
  </sheetViews>
  <sheetFormatPr defaultColWidth="13.109375" defaultRowHeight="13.2" x14ac:dyDescent="0.25"/>
  <cols>
    <col min="1" max="1" width="32" style="7" bestFit="1" customWidth="1"/>
    <col min="2" max="2" width="7.33203125" style="7" bestFit="1" customWidth="1"/>
    <col min="3" max="8" width="8" style="7" bestFit="1" customWidth="1"/>
    <col min="9" max="11" width="8.44140625" style="7" bestFit="1" customWidth="1"/>
    <col min="12" max="12" width="9.6640625" style="7" bestFit="1" customWidth="1"/>
    <col min="13" max="16384" width="13.109375" style="7"/>
  </cols>
  <sheetData>
    <row r="1" spans="1:13" ht="19.2" x14ac:dyDescent="0.35">
      <c r="A1" s="315" t="s">
        <v>150</v>
      </c>
      <c r="B1" s="316"/>
      <c r="C1" s="316"/>
      <c r="D1" s="316"/>
      <c r="E1" s="316"/>
      <c r="F1" s="316"/>
      <c r="G1" s="316"/>
      <c r="H1" s="316"/>
      <c r="I1" s="316"/>
      <c r="J1" s="316"/>
      <c r="K1" s="316"/>
      <c r="L1" s="317"/>
    </row>
    <row r="2" spans="1:13" s="1" customFormat="1" x14ac:dyDescent="0.25">
      <c r="A2" s="329" t="str">
        <f>'Balance Sheet'!A2</f>
        <v>UPL LTD</v>
      </c>
      <c r="B2" s="330"/>
      <c r="C2" s="330"/>
      <c r="D2" s="330"/>
      <c r="E2" s="330"/>
      <c r="F2" s="330"/>
      <c r="G2" s="330"/>
      <c r="H2" s="330"/>
      <c r="I2" s="330"/>
      <c r="J2" s="330"/>
      <c r="K2" s="330"/>
      <c r="L2" s="331"/>
    </row>
    <row r="3" spans="1:13" s="4" customFormat="1" x14ac:dyDescent="0.25">
      <c r="A3" s="179" t="s">
        <v>118</v>
      </c>
      <c r="B3" s="62">
        <f>'Data Sheet'!B81</f>
        <v>40268</v>
      </c>
      <c r="C3" s="62">
        <f>'Data Sheet'!C81</f>
        <v>40633</v>
      </c>
      <c r="D3" s="62">
        <f>'Data Sheet'!D81</f>
        <v>40999</v>
      </c>
      <c r="E3" s="62">
        <f>'Data Sheet'!E81</f>
        <v>41364</v>
      </c>
      <c r="F3" s="62">
        <f>'Data Sheet'!F81</f>
        <v>41729</v>
      </c>
      <c r="G3" s="62">
        <f>'Data Sheet'!G81</f>
        <v>42094</v>
      </c>
      <c r="H3" s="62">
        <f>'Data Sheet'!H81</f>
        <v>42460</v>
      </c>
      <c r="I3" s="62">
        <f>'Data Sheet'!I81</f>
        <v>42825</v>
      </c>
      <c r="J3" s="62">
        <f>'Data Sheet'!J81</f>
        <v>43190</v>
      </c>
      <c r="K3" s="62">
        <f>'Data Sheet'!K81</f>
        <v>43555</v>
      </c>
      <c r="L3" s="135" t="s">
        <v>20</v>
      </c>
    </row>
    <row r="4" spans="1:13" s="1" customFormat="1" x14ac:dyDescent="0.25">
      <c r="A4" s="180" t="s">
        <v>76</v>
      </c>
      <c r="B4" s="67">
        <f>'Data Sheet'!B82</f>
        <v>1293.5899999999999</v>
      </c>
      <c r="C4" s="67">
        <f>'Data Sheet'!C82</f>
        <v>814.82</v>
      </c>
      <c r="D4" s="67">
        <f>'Data Sheet'!D82</f>
        <v>161.96</v>
      </c>
      <c r="E4" s="67">
        <f>'Data Sheet'!E82</f>
        <v>1699.23</v>
      </c>
      <c r="F4" s="67">
        <f>'Data Sheet'!F82</f>
        <v>1440.8</v>
      </c>
      <c r="G4" s="67">
        <f>'Data Sheet'!G82</f>
        <v>1409.02</v>
      </c>
      <c r="H4" s="67">
        <f>'Data Sheet'!H82</f>
        <v>1396</v>
      </c>
      <c r="I4" s="67">
        <f>'Data Sheet'!I82</f>
        <v>2585</v>
      </c>
      <c r="J4" s="67">
        <f>'Data Sheet'!J82</f>
        <v>2839</v>
      </c>
      <c r="K4" s="67">
        <f>'Data Sheet'!K82</f>
        <v>2356</v>
      </c>
      <c r="L4" s="181">
        <f>SUM(B4:K4)</f>
        <v>15995.42</v>
      </c>
      <c r="M4" s="7"/>
    </row>
    <row r="5" spans="1:13" s="200" customFormat="1" x14ac:dyDescent="0.25">
      <c r="A5" s="185" t="s">
        <v>160</v>
      </c>
      <c r="B5" s="199"/>
      <c r="C5" s="66">
        <f>C4/B4-1</f>
        <v>-0.37010954011703856</v>
      </c>
      <c r="D5" s="66">
        <f t="shared" ref="D5:K5" si="0">D4/C4-1</f>
        <v>-0.80123217397707469</v>
      </c>
      <c r="E5" s="66">
        <f t="shared" si="0"/>
        <v>9.4916646085453191</v>
      </c>
      <c r="F5" s="66">
        <f t="shared" si="0"/>
        <v>-0.15208653331214728</v>
      </c>
      <c r="G5" s="66">
        <f t="shared" si="0"/>
        <v>-2.2057190449750075E-2</v>
      </c>
      <c r="H5" s="66">
        <f t="shared" si="0"/>
        <v>-9.2404650040454062E-3</v>
      </c>
      <c r="I5" s="66">
        <f t="shared" si="0"/>
        <v>0.8517191977077363</v>
      </c>
      <c r="J5" s="66">
        <f t="shared" si="0"/>
        <v>9.825918762088981E-2</v>
      </c>
      <c r="K5" s="66">
        <f t="shared" si="0"/>
        <v>-0.1701303275801338</v>
      </c>
      <c r="L5" s="184"/>
      <c r="M5" s="6"/>
    </row>
    <row r="6" spans="1:13" x14ac:dyDescent="0.25">
      <c r="A6" s="43" t="s">
        <v>27</v>
      </c>
      <c r="B6" s="17">
        <f>'Data Sheet'!B83</f>
        <v>-241.01</v>
      </c>
      <c r="C6" s="17">
        <f>'Data Sheet'!C83</f>
        <v>-895.07</v>
      </c>
      <c r="D6" s="17">
        <f>'Data Sheet'!D83</f>
        <v>-679.56</v>
      </c>
      <c r="E6" s="17">
        <f>'Data Sheet'!E83</f>
        <v>-764.91</v>
      </c>
      <c r="F6" s="17">
        <f>'Data Sheet'!F83</f>
        <v>-427.46</v>
      </c>
      <c r="G6" s="17">
        <f>'Data Sheet'!G83</f>
        <v>-462.6</v>
      </c>
      <c r="H6" s="17">
        <f>'Data Sheet'!H83</f>
        <v>-1734</v>
      </c>
      <c r="I6" s="17">
        <f>'Data Sheet'!I83</f>
        <v>-1022</v>
      </c>
      <c r="J6" s="17">
        <f>'Data Sheet'!J83</f>
        <v>-2059</v>
      </c>
      <c r="K6" s="17">
        <f>'Data Sheet'!K83</f>
        <v>-31282</v>
      </c>
      <c r="L6" s="181">
        <f t="shared" ref="L6:L8" si="1">SUM(B6:K6)</f>
        <v>-39567.61</v>
      </c>
    </row>
    <row r="7" spans="1:13" x14ac:dyDescent="0.25">
      <c r="A7" s="43" t="s">
        <v>28</v>
      </c>
      <c r="B7" s="17">
        <f>'Data Sheet'!B84</f>
        <v>11.36</v>
      </c>
      <c r="C7" s="17">
        <f>'Data Sheet'!C84</f>
        <v>-16.7</v>
      </c>
      <c r="D7" s="17">
        <f>'Data Sheet'!D84</f>
        <v>-178.2</v>
      </c>
      <c r="E7" s="17">
        <f>'Data Sheet'!E84</f>
        <v>-71.989999999999995</v>
      </c>
      <c r="F7" s="17">
        <f>'Data Sheet'!F84</f>
        <v>-1680</v>
      </c>
      <c r="G7" s="17">
        <f>'Data Sheet'!G84</f>
        <v>-991.32</v>
      </c>
      <c r="H7" s="17">
        <f>'Data Sheet'!H84</f>
        <v>469</v>
      </c>
      <c r="I7" s="17">
        <f>'Data Sheet'!I84</f>
        <v>140</v>
      </c>
      <c r="J7" s="17">
        <f>'Data Sheet'!J84</f>
        <v>-801</v>
      </c>
      <c r="K7" s="17">
        <f>'Data Sheet'!K84</f>
        <v>28893</v>
      </c>
      <c r="L7" s="181">
        <f t="shared" si="1"/>
        <v>25774.15</v>
      </c>
    </row>
    <row r="8" spans="1:13" s="1" customFormat="1" x14ac:dyDescent="0.25">
      <c r="A8" s="180" t="s">
        <v>29</v>
      </c>
      <c r="B8" s="67">
        <f>'Data Sheet'!B85</f>
        <v>1063.94</v>
      </c>
      <c r="C8" s="67">
        <f>'Data Sheet'!C85</f>
        <v>-96.95</v>
      </c>
      <c r="D8" s="67">
        <f>'Data Sheet'!D85</f>
        <v>-695.8</v>
      </c>
      <c r="E8" s="67">
        <f>'Data Sheet'!E85</f>
        <v>862.33</v>
      </c>
      <c r="F8" s="67">
        <f>'Data Sheet'!F85</f>
        <v>-666.66</v>
      </c>
      <c r="G8" s="67">
        <f>'Data Sheet'!G85</f>
        <v>-44.9</v>
      </c>
      <c r="H8" s="67">
        <f>'Data Sheet'!H85</f>
        <v>131</v>
      </c>
      <c r="I8" s="67">
        <f>'Data Sheet'!I85</f>
        <v>1703</v>
      </c>
      <c r="J8" s="67">
        <f>'Data Sheet'!J85</f>
        <v>-21</v>
      </c>
      <c r="K8" s="67">
        <f>'Data Sheet'!K85</f>
        <v>-33</v>
      </c>
      <c r="L8" s="181">
        <f t="shared" si="1"/>
        <v>2201.96</v>
      </c>
    </row>
    <row r="9" spans="1:13" s="6" customFormat="1" x14ac:dyDescent="0.25">
      <c r="A9" s="182" t="s">
        <v>77</v>
      </c>
      <c r="B9" s="66">
        <f>B4/'Profit &amp; Loss'!B4</f>
        <v>0.24453312262289131</v>
      </c>
      <c r="C9" s="66">
        <f>C4/'Profit &amp; Loss'!C4</f>
        <v>0.14144510717484743</v>
      </c>
      <c r="D9" s="66">
        <f>D4/'Profit &amp; Loss'!D4</f>
        <v>2.1112403080565015E-2</v>
      </c>
      <c r="E9" s="66">
        <f>E4/'Profit &amp; Loss'!E4</f>
        <v>0.18498644632417779</v>
      </c>
      <c r="F9" s="66">
        <f>F4/'Profit &amp; Loss'!F4</f>
        <v>0.13376808580171723</v>
      </c>
      <c r="G9" s="66">
        <f>G4/'Profit &amp; Loss'!G4</f>
        <v>0.11653923900708985</v>
      </c>
      <c r="H9" s="66">
        <f>H4/'Profit &amp; Loss'!H4</f>
        <v>9.9373576309794986E-2</v>
      </c>
      <c r="I9" s="66">
        <f>I4/'Profit &amp; Loss'!I4</f>
        <v>0.15847229033840118</v>
      </c>
      <c r="J9" s="66">
        <f>J4/'Profit &amp; Loss'!J4</f>
        <v>0.16336747611923122</v>
      </c>
      <c r="K9" s="66">
        <f>K4/'Profit &amp; Loss'!K4</f>
        <v>0.10789027796858543</v>
      </c>
      <c r="L9" s="183"/>
    </row>
    <row r="10" spans="1:13" s="6" customFormat="1" x14ac:dyDescent="0.25">
      <c r="A10" s="182" t="s">
        <v>78</v>
      </c>
      <c r="B10" s="66">
        <f>B4/'Profit &amp; Loss'!B24</f>
        <v>2.5199477928858074</v>
      </c>
      <c r="C10" s="66">
        <f>C4/'Profit &amp; Loss'!C24</f>
        <v>1.3778747294372296</v>
      </c>
      <c r="D10" s="66">
        <f>D4/'Profit &amp; Loss'!D24</f>
        <v>0.2696232665767696</v>
      </c>
      <c r="E10" s="66">
        <f>E4/'Profit &amp; Loss'!E24</f>
        <v>2.2940557033116833</v>
      </c>
      <c r="F10" s="66">
        <f>F4/'Profit &amp; Loss'!F24</f>
        <v>1.541209819757182</v>
      </c>
      <c r="G10" s="66">
        <f>G4/'Profit &amp; Loss'!G24</f>
        <v>1.2080489728728667</v>
      </c>
      <c r="H10" s="66">
        <f>H4/'Profit &amp; Loss'!H24</f>
        <v>1.4663865546218486</v>
      </c>
      <c r="I10" s="66">
        <f>I4/'Profit &amp; Loss'!I24</f>
        <v>1.4916330063473744</v>
      </c>
      <c r="J10" s="66">
        <f>J4/'Profit &amp; Loss'!J24</f>
        <v>1.3985221674876847</v>
      </c>
      <c r="K10" s="66">
        <f>K4/'Profit &amp; Loss'!K24</f>
        <v>1.5510204081632653</v>
      </c>
      <c r="L10" s="183"/>
    </row>
    <row r="11" spans="1:13" x14ac:dyDescent="0.25">
      <c r="A11" s="228" t="s">
        <v>184</v>
      </c>
      <c r="B11" s="229">
        <f>B26</f>
        <v>-228.45000000000002</v>
      </c>
      <c r="C11" s="229">
        <f t="shared" ref="C11:K11" si="2">C26</f>
        <v>-696.04</v>
      </c>
      <c r="D11" s="229">
        <f t="shared" si="2"/>
        <v>-566.54</v>
      </c>
      <c r="E11" s="229">
        <f t="shared" si="2"/>
        <v>-445.72</v>
      </c>
      <c r="F11" s="229">
        <f t="shared" si="2"/>
        <v>-566.37</v>
      </c>
      <c r="G11" s="229">
        <f t="shared" si="2"/>
        <v>-531.06999999999994</v>
      </c>
      <c r="H11" s="229">
        <f t="shared" si="2"/>
        <v>-693</v>
      </c>
      <c r="I11" s="229">
        <f t="shared" si="2"/>
        <v>-1203</v>
      </c>
      <c r="J11" s="229">
        <f t="shared" si="2"/>
        <v>-1404</v>
      </c>
      <c r="K11" s="229">
        <f t="shared" si="2"/>
        <v>-1553</v>
      </c>
      <c r="L11" s="184"/>
    </row>
    <row r="12" spans="1:13" x14ac:dyDescent="0.25">
      <c r="A12" s="180" t="s">
        <v>187</v>
      </c>
      <c r="B12" s="68">
        <f>B4+B11+'Balance Sheet'!B24</f>
        <v>1065.1399999999999</v>
      </c>
      <c r="C12" s="68">
        <f>C4+C11+'Balance Sheet'!C24</f>
        <v>390.06000000000006</v>
      </c>
      <c r="D12" s="68">
        <f>D4+D11+'Balance Sheet'!D24</f>
        <v>1171.5400000000002</v>
      </c>
      <c r="E12" s="68">
        <f>E4+E11+'Balance Sheet'!E24</f>
        <v>1219.6699999999994</v>
      </c>
      <c r="F12" s="68">
        <f>F4+F11+'Balance Sheet'!F24</f>
        <v>546.0500000000003</v>
      </c>
      <c r="G12" s="68">
        <f>G4+G11+'Balance Sheet'!G24</f>
        <v>822.02000000000021</v>
      </c>
      <c r="H12" s="68">
        <f>H4+H11+'Balance Sheet'!H24</f>
        <v>2501.2199999999998</v>
      </c>
      <c r="I12" s="68">
        <f>I4+I11+'Balance Sheet'!I24</f>
        <v>779</v>
      </c>
      <c r="J12" s="68">
        <f>J4+J11+'Balance Sheet'!J24</f>
        <v>1713</v>
      </c>
      <c r="K12" s="68">
        <f>K4+K11+'Balance Sheet'!K24</f>
        <v>23348</v>
      </c>
      <c r="L12" s="184">
        <f t="shared" ref="L12" si="3">SUM(B12:K12)</f>
        <v>33555.699999999997</v>
      </c>
      <c r="M12" s="1"/>
    </row>
    <row r="13" spans="1:13" ht="14.55" customHeight="1" x14ac:dyDescent="0.25">
      <c r="A13" s="234" t="s">
        <v>188</v>
      </c>
      <c r="B13" s="326"/>
      <c r="C13" s="327"/>
      <c r="D13" s="327"/>
      <c r="E13" s="327"/>
      <c r="F13" s="327"/>
      <c r="G13" s="327"/>
      <c r="H13" s="327"/>
      <c r="I13" s="327"/>
      <c r="J13" s="327"/>
      <c r="K13" s="328"/>
      <c r="L13" s="67">
        <f>AVERAGE(I12:K12)</f>
        <v>8613.3333333333339</v>
      </c>
    </row>
    <row r="14" spans="1:13" ht="14.55" customHeight="1" x14ac:dyDescent="0.25">
      <c r="A14" s="185" t="s">
        <v>191</v>
      </c>
      <c r="B14" s="198"/>
      <c r="C14" s="201">
        <f>C12/B12-1</f>
        <v>-0.63379461854779651</v>
      </c>
      <c r="D14" s="201">
        <f t="shared" ref="D14:K14" si="4">D12/C12-1</f>
        <v>2.0034866430805516</v>
      </c>
      <c r="E14" s="201">
        <f t="shared" si="4"/>
        <v>4.1082677501407705E-2</v>
      </c>
      <c r="F14" s="201">
        <f t="shared" si="4"/>
        <v>-0.55229693277689829</v>
      </c>
      <c r="G14" s="201">
        <f t="shared" si="4"/>
        <v>0.50539327900375386</v>
      </c>
      <c r="H14" s="201">
        <f t="shared" si="4"/>
        <v>2.042772681929879</v>
      </c>
      <c r="I14" s="201">
        <f t="shared" si="4"/>
        <v>-0.6885519866305243</v>
      </c>
      <c r="J14" s="201">
        <f t="shared" si="4"/>
        <v>1.1989730423620024</v>
      </c>
      <c r="K14" s="236">
        <f t="shared" si="4"/>
        <v>12.629889083479275</v>
      </c>
      <c r="L14" s="186"/>
    </row>
    <row r="15" spans="1:13" x14ac:dyDescent="0.25">
      <c r="A15" s="185" t="s">
        <v>192</v>
      </c>
      <c r="B15" s="66">
        <f>B12/'Data Sheet'!B17</f>
        <v>0.20134819396450687</v>
      </c>
      <c r="C15" s="66">
        <f>C12/'Data Sheet'!C17</f>
        <v>6.7710756369039768E-2</v>
      </c>
      <c r="D15" s="66">
        <f>D12/'Data Sheet'!D17</f>
        <v>0.15271687271551704</v>
      </c>
      <c r="E15" s="66">
        <f>E12/'Data Sheet'!E17</f>
        <v>0.13277921116518057</v>
      </c>
      <c r="F15" s="66">
        <f>F12/'Data Sheet'!F17</f>
        <v>5.0696878992245793E-2</v>
      </c>
      <c r="G15" s="66">
        <f>G12/'Data Sheet'!G17</f>
        <v>6.7988804451752302E-2</v>
      </c>
      <c r="H15" s="66">
        <f>H12/'Data Sheet'!H17</f>
        <v>0.17804812072892937</v>
      </c>
      <c r="I15" s="66">
        <f>I12/'Data Sheet'!I17</f>
        <v>4.7756253065228051E-2</v>
      </c>
      <c r="J15" s="66">
        <f>J12/'Data Sheet'!J17</f>
        <v>9.8572908274830243E-2</v>
      </c>
      <c r="K15" s="66">
        <f>K12/'Data Sheet'!K17</f>
        <v>1.0691944864221277</v>
      </c>
      <c r="L15" s="186"/>
    </row>
    <row r="16" spans="1:13" ht="13.8" thickBot="1" x14ac:dyDescent="0.3">
      <c r="A16" s="187" t="s">
        <v>193</v>
      </c>
      <c r="B16" s="188">
        <f>B12/'Data Sheet'!B30</f>
        <v>2.0243652121027824</v>
      </c>
      <c r="C16" s="188">
        <f>C12/'Data Sheet'!C30</f>
        <v>0.69950862594598484</v>
      </c>
      <c r="D16" s="188">
        <f>D12/'Data Sheet'!D30</f>
        <v>2.1087930879308798</v>
      </c>
      <c r="E16" s="188">
        <f>E12/'Data Sheet'!E30</f>
        <v>1.5745804286083132</v>
      </c>
      <c r="F16" s="188">
        <f>F12/'Data Sheet'!F30</f>
        <v>0.57491656050284834</v>
      </c>
      <c r="G16" s="188">
        <f>G12/'Data Sheet'!G30</f>
        <v>0.71853010847617649</v>
      </c>
      <c r="H16" s="188">
        <f>H12/'Data Sheet'!H30</f>
        <v>2.6608723404255317</v>
      </c>
      <c r="I16" s="188">
        <f>I12/'Data Sheet'!I30</f>
        <v>0.45107122177185871</v>
      </c>
      <c r="J16" s="188">
        <f>J12/'Data Sheet'!J30</f>
        <v>0.84718100890207715</v>
      </c>
      <c r="K16" s="188">
        <f>K12/'Data Sheet'!K30</f>
        <v>16.135452660677263</v>
      </c>
      <c r="L16" s="189"/>
    </row>
    <row r="18" spans="1:13" x14ac:dyDescent="0.25">
      <c r="A18" s="61" t="s">
        <v>194</v>
      </c>
      <c r="B18" s="9">
        <f>'Profit &amp; Loss'!B29+'Profit &amp; Loss'!B17-'Balance Sheet'!B17+'Cash Flow'!B26</f>
        <v>693.37999999999965</v>
      </c>
      <c r="C18" s="9">
        <f>'Profit &amp; Loss'!C29+'Profit &amp; Loss'!C17-'Balance Sheet'!C17+'Cash Flow'!C26</f>
        <v>54.299999999999955</v>
      </c>
      <c r="D18" s="9">
        <f>'Profit &amp; Loss'!D29+'Profit &amp; Loss'!D17-'Balance Sheet'!D17+'Cash Flow'!D26</f>
        <v>705.99000000000069</v>
      </c>
      <c r="E18" s="9">
        <f>'Profit &amp; Loss'!E29+'Profit &amp; Loss'!E17-'Balance Sheet'!E17+'Cash Flow'!E26</f>
        <v>360.22000000000185</v>
      </c>
      <c r="F18" s="9">
        <f>'Profit &amp; Loss'!F29+'Profit &amp; Loss'!F17-'Balance Sheet'!F17+'Cash Flow'!F26</f>
        <v>1406.3399999999988</v>
      </c>
      <c r="G18" s="9">
        <f>'Profit &amp; Loss'!G29+'Profit &amp; Loss'!G17-'Balance Sheet'!G17+'Cash Flow'!G26</f>
        <v>1624.3900000000037</v>
      </c>
      <c r="H18" s="9">
        <f>'Profit &amp; Loss'!H29+'Profit &amp; Loss'!H17-'Balance Sheet'!H17+'Cash Flow'!H26</f>
        <v>2733.3899999999994</v>
      </c>
      <c r="I18" s="9">
        <f>'Profit &amp; Loss'!I29+'Profit &amp; Loss'!I17-'Balance Sheet'!I17+'Cash Flow'!I26</f>
        <v>-3829</v>
      </c>
      <c r="J18" s="9">
        <f>'Profit &amp; Loss'!J29+'Profit &amp; Loss'!J17-'Balance Sheet'!J17+'Cash Flow'!J26</f>
        <v>1502</v>
      </c>
      <c r="K18" s="9">
        <f>'Profit &amp; Loss'!K29+'Profit &amp; Loss'!K17-'Balance Sheet'!K17+'Cash Flow'!K26</f>
        <v>1522</v>
      </c>
      <c r="L18" s="199">
        <f t="shared" ref="L18" si="5">SUM(B18:K18)</f>
        <v>6773.0100000000039</v>
      </c>
      <c r="M18" s="1"/>
    </row>
    <row r="19" spans="1:13" x14ac:dyDescent="0.25">
      <c r="A19" s="234" t="s">
        <v>283</v>
      </c>
      <c r="B19" s="326"/>
      <c r="C19" s="327"/>
      <c r="D19" s="327"/>
      <c r="E19" s="327"/>
      <c r="F19" s="327"/>
      <c r="G19" s="327"/>
      <c r="H19" s="327"/>
      <c r="I19" s="327"/>
      <c r="J19" s="327"/>
      <c r="K19" s="328"/>
      <c r="L19" s="67">
        <v>3500</v>
      </c>
      <c r="M19" s="1" t="s">
        <v>282</v>
      </c>
    </row>
    <row r="20" spans="1:13" x14ac:dyDescent="0.25">
      <c r="A20" s="185" t="s">
        <v>197</v>
      </c>
      <c r="B20" s="225"/>
      <c r="C20" s="201">
        <f>C18/B18-1</f>
        <v>-0.92168796331016178</v>
      </c>
      <c r="D20" s="201">
        <f t="shared" ref="D20" si="6">D18/C18-1</f>
        <v>12.00165745856356</v>
      </c>
      <c r="E20" s="201">
        <f t="shared" ref="E20" si="7">E18/D18-1</f>
        <v>-0.48976614399637175</v>
      </c>
      <c r="F20" s="201">
        <f t="shared" ref="F20" si="8">F18/E18-1</f>
        <v>2.9041141524623608</v>
      </c>
      <c r="G20" s="201">
        <f t="shared" ref="G20" si="9">G18/F18-1</f>
        <v>0.15504785471507976</v>
      </c>
      <c r="H20" s="201">
        <f t="shared" ref="H20" si="10">H18/G18-1</f>
        <v>0.68271782022789673</v>
      </c>
      <c r="I20" s="201">
        <f t="shared" ref="I20" si="11">I18/H18-1</f>
        <v>-2.4008246170506222</v>
      </c>
      <c r="J20" s="201">
        <f t="shared" ref="J20" si="12">J18/I18-1</f>
        <v>-1.3922695220684251</v>
      </c>
      <c r="K20" s="236">
        <f t="shared" ref="K20" si="13">K18/J18-1</f>
        <v>1.3315579227696439E-2</v>
      </c>
      <c r="L20" s="235"/>
    </row>
    <row r="21" spans="1:13" x14ac:dyDescent="0.25">
      <c r="A21" s="185" t="s">
        <v>198</v>
      </c>
      <c r="B21" s="66">
        <f>B18/'Data Sheet'!B17</f>
        <v>0.13107273290939192</v>
      </c>
      <c r="C21" s="66">
        <f>C18/'Data Sheet'!C17</f>
        <v>9.425970545143967E-3</v>
      </c>
      <c r="D21" s="66">
        <f>D18/'Data Sheet'!D17</f>
        <v>9.2029794090195779E-2</v>
      </c>
      <c r="E21" s="66">
        <f>E18/'Data Sheet'!E17</f>
        <v>3.9215302045571034E-2</v>
      </c>
      <c r="F21" s="66">
        <f>F18/'Data Sheet'!F17</f>
        <v>0.13056871861909136</v>
      </c>
      <c r="G21" s="66">
        <f>G18/'Data Sheet'!G17</f>
        <v>0.13435236863261496</v>
      </c>
      <c r="H21" s="66">
        <f>H18/'Data Sheet'!H17</f>
        <v>0.19457502847380406</v>
      </c>
      <c r="I21" s="66">
        <f>I18/'Data Sheet'!I17</f>
        <v>-0.23473516429622365</v>
      </c>
      <c r="J21" s="66">
        <f>J18/'Data Sheet'!J17</f>
        <v>8.6431119806652093E-2</v>
      </c>
      <c r="K21" s="66">
        <f>K18/'Data Sheet'!K17</f>
        <v>6.969821861977378E-2</v>
      </c>
      <c r="L21" s="235"/>
    </row>
    <row r="22" spans="1:13" ht="13.8" thickBot="1" x14ac:dyDescent="0.3">
      <c r="A22" s="187" t="s">
        <v>199</v>
      </c>
      <c r="B22" s="188">
        <f>B18/'Data Sheet'!B30</f>
        <v>1.3178120723734219</v>
      </c>
      <c r="C22" s="188">
        <f>C18/'Data Sheet'!C30</f>
        <v>9.7378142821276062E-2</v>
      </c>
      <c r="D22" s="188">
        <f>D18/'Data Sheet'!D30</f>
        <v>1.2707947079470807</v>
      </c>
      <c r="E22" s="188">
        <f>E18/'Data Sheet'!E30</f>
        <v>0.46504002065582473</v>
      </c>
      <c r="F22" s="188">
        <f>F18/'Data Sheet'!F30</f>
        <v>1.4806852040977467</v>
      </c>
      <c r="G22" s="188">
        <f>G18/'Data Sheet'!G30</f>
        <v>1.4198840939485886</v>
      </c>
      <c r="H22" s="188">
        <f>H18/'Data Sheet'!H30</f>
        <v>2.9078617021276592</v>
      </c>
      <c r="I22" s="188">
        <f>I18/'Data Sheet'!I30</f>
        <v>-2.2171395483497394</v>
      </c>
      <c r="J22" s="188">
        <f>J18/'Data Sheet'!J30</f>
        <v>0.74282888229475763</v>
      </c>
      <c r="K22" s="188">
        <f>K18/'Data Sheet'!K30</f>
        <v>1.0518313752591568</v>
      </c>
      <c r="L22" s="235"/>
    </row>
    <row r="23" spans="1:13" x14ac:dyDescent="0.25">
      <c r="L23" s="235"/>
    </row>
    <row r="24" spans="1:13" ht="16.8" x14ac:dyDescent="0.25">
      <c r="A24" s="274" t="s">
        <v>255</v>
      </c>
      <c r="B24" s="275">
        <v>-231.46</v>
      </c>
      <c r="C24" s="275">
        <v>-710.77</v>
      </c>
      <c r="D24" s="275">
        <v>-568.86</v>
      </c>
      <c r="E24" s="275">
        <v>-476.18</v>
      </c>
      <c r="F24" s="275">
        <v>-577.44000000000005</v>
      </c>
      <c r="G24" s="275">
        <v>-599.4</v>
      </c>
      <c r="H24" s="275">
        <v>-695</v>
      </c>
      <c r="I24" s="275">
        <v>-1259</v>
      </c>
      <c r="J24" s="275">
        <v>-1413</v>
      </c>
      <c r="K24" s="275">
        <v>-1575</v>
      </c>
    </row>
    <row r="25" spans="1:13" x14ac:dyDescent="0.25">
      <c r="A25" s="274" t="s">
        <v>256</v>
      </c>
      <c r="B25" s="274">
        <v>3.01</v>
      </c>
      <c r="C25" s="274">
        <v>14.73</v>
      </c>
      <c r="D25" s="274">
        <v>2.3199999999999998</v>
      </c>
      <c r="E25" s="274">
        <v>30.46</v>
      </c>
      <c r="F25" s="274">
        <v>11.07</v>
      </c>
      <c r="G25" s="274">
        <v>68.33</v>
      </c>
      <c r="H25" s="274">
        <v>2</v>
      </c>
      <c r="I25" s="274">
        <v>56</v>
      </c>
      <c r="J25" s="274">
        <v>9</v>
      </c>
      <c r="K25" s="274">
        <v>22</v>
      </c>
    </row>
    <row r="26" spans="1:13" s="12" customFormat="1" x14ac:dyDescent="0.25">
      <c r="A26" s="230" t="s">
        <v>184</v>
      </c>
      <c r="B26" s="231">
        <f>B24+B25</f>
        <v>-228.45000000000002</v>
      </c>
      <c r="C26" s="231">
        <f t="shared" ref="C26:K26" si="14">C24+C25</f>
        <v>-696.04</v>
      </c>
      <c r="D26" s="231">
        <f t="shared" si="14"/>
        <v>-566.54</v>
      </c>
      <c r="E26" s="231">
        <f t="shared" si="14"/>
        <v>-445.72</v>
      </c>
      <c r="F26" s="231">
        <f t="shared" si="14"/>
        <v>-566.37</v>
      </c>
      <c r="G26" s="231">
        <f t="shared" si="14"/>
        <v>-531.06999999999994</v>
      </c>
      <c r="H26" s="231">
        <f t="shared" si="14"/>
        <v>-693</v>
      </c>
      <c r="I26" s="231">
        <f t="shared" si="14"/>
        <v>-1203</v>
      </c>
      <c r="J26" s="231">
        <f t="shared" si="14"/>
        <v>-1404</v>
      </c>
      <c r="K26" s="231">
        <f t="shared" si="14"/>
        <v>-1553</v>
      </c>
    </row>
    <row r="28" spans="1:13" ht="39.6" x14ac:dyDescent="0.25">
      <c r="A28" s="160" t="s">
        <v>183</v>
      </c>
    </row>
  </sheetData>
  <mergeCells count="4">
    <mergeCell ref="B13:K13"/>
    <mergeCell ref="A1:L1"/>
    <mergeCell ref="A2:L2"/>
    <mergeCell ref="B19:K19"/>
  </mergeCells>
  <printOptions gridLines="1"/>
  <pageMargins left="0.7" right="0.7" top="0.75" bottom="0.75" header="0.3" footer="0.3"/>
  <pageSetup paperSize="9" orientation="landscape" r:id="rId1"/>
  <extLst>
    <ext xmlns:x14="http://schemas.microsoft.com/office/spreadsheetml/2009/9/main" uri="{05C60535-1F16-4fd2-B633-F4F36F0B64E0}">
      <x14:sparklineGroups xmlns:xm="http://schemas.microsoft.com/office/excel/2006/main">
        <x14:sparklineGroup type="column" displayEmptyCellsAs="gap" xr2:uid="{31B158BE-32FD-443C-9A7A-34A49A256DB6}">
          <x14:colorSeries rgb="FFC00000"/>
          <x14:colorNegative rgb="FFD00000"/>
          <x14:colorAxis rgb="FF000000"/>
          <x14:colorMarkers rgb="FFD00000"/>
          <x14:colorFirst rgb="FFD00000"/>
          <x14:colorLast rgb="FFD00000"/>
          <x14:colorHigh rgb="FFD00000"/>
          <x14:colorLow rgb="FFD00000"/>
          <x14:sparklines>
            <x14:sparkline>
              <xm:f>'Cash Flow'!G12:K12</xm:f>
              <xm:sqref>M12</xm:sqref>
            </x14:sparkline>
          </x14:sparklines>
        </x14:sparklineGroup>
        <x14:sparklineGroup type="column" displayEmptyCellsAs="gap" xr2:uid="{2B543C4E-E4BE-4C98-A662-4EB4A29D0894}">
          <x14:colorSeries rgb="FFC00000"/>
          <x14:colorNegative rgb="FFD00000"/>
          <x14:colorAxis rgb="FF000000"/>
          <x14:colorMarkers rgb="FFD00000"/>
          <x14:colorFirst rgb="FFD00000"/>
          <x14:colorLast rgb="FFD00000"/>
          <x14:colorHigh rgb="FFD00000"/>
          <x14:colorLow rgb="FFD00000"/>
          <x14:sparklines>
            <x14:sparkline>
              <xm:f>'Cash Flow'!G18:K18</xm:f>
              <xm:sqref>M18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F1102-9D3C-4691-94AD-A7621851C2C1}">
  <dimension ref="A1:L23"/>
  <sheetViews>
    <sheetView workbookViewId="0">
      <selection activeCell="L21" sqref="L21"/>
    </sheetView>
  </sheetViews>
  <sheetFormatPr defaultColWidth="8.77734375" defaultRowHeight="13.2" x14ac:dyDescent="0.25"/>
  <cols>
    <col min="1" max="1" width="24.44140625" style="2" bestFit="1" customWidth="1"/>
    <col min="2" max="2" width="7" style="2" bestFit="1" customWidth="1"/>
    <col min="3" max="3" width="8" style="2" bestFit="1" customWidth="1"/>
    <col min="4" max="4" width="6.77734375" style="2" bestFit="1" customWidth="1"/>
    <col min="5" max="5" width="7" style="2" bestFit="1" customWidth="1"/>
    <col min="6" max="6" width="8.21875" style="2" bestFit="1" customWidth="1"/>
    <col min="7" max="7" width="7" style="2" bestFit="1" customWidth="1"/>
    <col min="8" max="8" width="6.77734375" style="2" bestFit="1" customWidth="1"/>
    <col min="9" max="9" width="7" style="2" bestFit="1" customWidth="1"/>
    <col min="10" max="10" width="6.77734375" style="2" bestFit="1" customWidth="1"/>
    <col min="11" max="11" width="7.6640625" style="2" bestFit="1" customWidth="1"/>
    <col min="12" max="16384" width="8.77734375" style="2"/>
  </cols>
  <sheetData>
    <row r="1" spans="1:11" ht="19.2" x14ac:dyDescent="0.35">
      <c r="A1" s="332" t="s">
        <v>157</v>
      </c>
      <c r="B1" s="333"/>
      <c r="C1" s="333"/>
      <c r="D1" s="333"/>
      <c r="E1" s="333"/>
      <c r="F1" s="333"/>
      <c r="G1" s="333"/>
      <c r="H1" s="333"/>
      <c r="I1" s="333"/>
      <c r="J1" s="333"/>
      <c r="K1" s="334"/>
    </row>
    <row r="2" spans="1:11" x14ac:dyDescent="0.25">
      <c r="A2" s="335" t="str">
        <f>'Profit &amp; Loss'!A2:L2</f>
        <v>UPL LTD</v>
      </c>
      <c r="B2" s="336"/>
      <c r="C2" s="336"/>
      <c r="D2" s="336"/>
      <c r="E2" s="336"/>
      <c r="F2" s="336"/>
      <c r="G2" s="336"/>
      <c r="H2" s="336"/>
      <c r="I2" s="336"/>
      <c r="J2" s="336"/>
      <c r="K2" s="337"/>
    </row>
    <row r="3" spans="1:11" x14ac:dyDescent="0.25">
      <c r="A3" s="208"/>
      <c r="B3" s="204">
        <f>'Profit &amp; Loss'!B3</f>
        <v>40268</v>
      </c>
      <c r="C3" s="204">
        <f>'Profit &amp; Loss'!C3</f>
        <v>40633</v>
      </c>
      <c r="D3" s="204">
        <f>'Profit &amp; Loss'!D3</f>
        <v>40999</v>
      </c>
      <c r="E3" s="204">
        <f>'Profit &amp; Loss'!E3</f>
        <v>41364</v>
      </c>
      <c r="F3" s="204">
        <f>'Profit &amp; Loss'!F3</f>
        <v>41729</v>
      </c>
      <c r="G3" s="204">
        <f>'Profit &amp; Loss'!G3</f>
        <v>42094</v>
      </c>
      <c r="H3" s="204">
        <f>'Profit &amp; Loss'!H3</f>
        <v>42460</v>
      </c>
      <c r="I3" s="204">
        <f>'Profit &amp; Loss'!I3</f>
        <v>42825</v>
      </c>
      <c r="J3" s="204">
        <f>'Profit &amp; Loss'!J3</f>
        <v>43190</v>
      </c>
      <c r="K3" s="209">
        <f>'Profit &amp; Loss'!K3</f>
        <v>43555</v>
      </c>
    </row>
    <row r="4" spans="1:11" x14ac:dyDescent="0.25">
      <c r="A4" s="43" t="s">
        <v>16</v>
      </c>
      <c r="B4" s="205"/>
      <c r="C4" s="205">
        <f>'Profit &amp; Loss'!C5</f>
        <v>8.8967191174357918E-2</v>
      </c>
      <c r="D4" s="205">
        <f>'Profit &amp; Loss'!D5</f>
        <v>0.33166917794427042</v>
      </c>
      <c r="E4" s="205">
        <f>'Profit &amp; Loss'!E5</f>
        <v>0.19740800800905212</v>
      </c>
      <c r="F4" s="205">
        <f>'Profit &amp; Loss'!F5</f>
        <v>0.17257040835211224</v>
      </c>
      <c r="G4" s="205">
        <f>'Profit &amp; Loss'!G5</f>
        <v>0.12251923705398271</v>
      </c>
      <c r="H4" s="205">
        <f>'Profit &amp; Loss'!H5</f>
        <v>0.16190205218634102</v>
      </c>
      <c r="I4" s="205">
        <f>'Profit &amp; Loss'!I5</f>
        <v>0.16116173120728927</v>
      </c>
      <c r="J4" s="205">
        <f>'Profit &amp; Loss'!J5</f>
        <v>6.5350662089259437E-2</v>
      </c>
      <c r="K4" s="210">
        <f>'Profit &amp; Loss'!K5</f>
        <v>0.25658879042467486</v>
      </c>
    </row>
    <row r="5" spans="1:11" x14ac:dyDescent="0.25">
      <c r="A5" s="43" t="s">
        <v>119</v>
      </c>
      <c r="B5" s="205"/>
      <c r="C5" s="205">
        <f>'Profit &amp; Loss'!C21</f>
        <v>0.10980457658259613</v>
      </c>
      <c r="D5" s="205">
        <f>'Profit &amp; Loss'!D21</f>
        <v>9.6713021491784179E-2</v>
      </c>
      <c r="E5" s="205">
        <f>'Profit &amp; Loss'!E21</f>
        <v>0.29529298751200739</v>
      </c>
      <c r="F5" s="205">
        <f>'Profit &amp; Loss'!F21</f>
        <v>0.22530406407593917</v>
      </c>
      <c r="G5" s="205">
        <f>'Profit &amp; Loss'!G21</f>
        <v>0.21947360229650825</v>
      </c>
      <c r="H5" s="205">
        <f>'Profit &amp; Loss'!H21</f>
        <v>-0.20800924580074875</v>
      </c>
      <c r="I5" s="205">
        <f>'Profit &amp; Loss'!I21</f>
        <v>0.72068039391226502</v>
      </c>
      <c r="J5" s="205">
        <f>'Profit &amp; Loss'!J21</f>
        <v>0.1992715920915713</v>
      </c>
      <c r="K5" s="210">
        <f>'Profit &amp; Loss'!K21</f>
        <v>-0.26941431670282001</v>
      </c>
    </row>
    <row r="6" spans="1:11" x14ac:dyDescent="0.25">
      <c r="A6" s="43" t="s">
        <v>155</v>
      </c>
      <c r="B6" s="205"/>
      <c r="C6" s="205">
        <f>'Profit &amp; Loss'!C25</f>
        <v>0.15198503915533612</v>
      </c>
      <c r="D6" s="205">
        <f>'Profit &amp; Loss'!D25</f>
        <v>1.577719155844326E-2</v>
      </c>
      <c r="E6" s="205">
        <f>'Profit &amp; Loss'!E25</f>
        <v>0.23309860327290277</v>
      </c>
      <c r="F6" s="205">
        <f>'Profit &amp; Loss'!F25</f>
        <v>0.26209987714489791</v>
      </c>
      <c r="G6" s="205">
        <f>'Profit &amp; Loss'!G25</f>
        <v>0.24764400705996037</v>
      </c>
      <c r="H6" s="205">
        <f>'Profit &amp; Loss'!H25</f>
        <v>-0.1837854521760024</v>
      </c>
      <c r="I6" s="205">
        <f>'Profit &amp; Loss'!I25</f>
        <v>0.82037815126050417</v>
      </c>
      <c r="J6" s="205">
        <f>'Profit &amp; Loss'!J25</f>
        <v>0.17137911136757067</v>
      </c>
      <c r="K6" s="210">
        <f>'Profit &amp; Loss'!K25</f>
        <v>-0.25172413793103443</v>
      </c>
    </row>
    <row r="7" spans="1:11" x14ac:dyDescent="0.25">
      <c r="A7" s="43" t="s">
        <v>168</v>
      </c>
      <c r="B7" s="205"/>
      <c r="C7" s="205">
        <f>'Data Sheet'!C31/'Data Sheet'!B31-1</f>
        <v>5.0619952223865283E-2</v>
      </c>
      <c r="D7" s="205">
        <f>'Data Sheet'!D31/'Data Sheet'!C31-1</f>
        <v>0.25</v>
      </c>
      <c r="E7" s="205">
        <f>'Data Sheet'!E31/'Data Sheet'!D31-1</f>
        <v>-4.1576440017323524E-2</v>
      </c>
      <c r="F7" s="205">
        <f>'Data Sheet'!F31/'Data Sheet'!E31-1</f>
        <v>0.54938996836873022</v>
      </c>
      <c r="G7" s="205">
        <f>'Data Sheet'!G31/'Data Sheet'!F31-1</f>
        <v>0.25</v>
      </c>
      <c r="H7" s="205">
        <f>'Data Sheet'!H31/'Data Sheet'!G31-1</f>
        <v>3.2664489034064381E-3</v>
      </c>
      <c r="I7" s="205">
        <f>'Data Sheet'!I31/'Data Sheet'!H31-1</f>
        <v>0.64418604651162781</v>
      </c>
      <c r="J7" s="205">
        <f>'Data Sheet'!J31/'Data Sheet'!I31-1</f>
        <v>0.15417256011315428</v>
      </c>
      <c r="K7" s="210">
        <f>'Data Sheet'!K31/'Data Sheet'!J31-1</f>
        <v>0</v>
      </c>
    </row>
    <row r="8" spans="1:11" x14ac:dyDescent="0.25">
      <c r="A8" s="43" t="s">
        <v>161</v>
      </c>
      <c r="B8" s="205"/>
      <c r="C8" s="205">
        <f>'Cash Flow'!C5</f>
        <v>-0.37010954011703856</v>
      </c>
      <c r="D8" s="205">
        <f>'Cash Flow'!D5</f>
        <v>-0.80123217397707469</v>
      </c>
      <c r="E8" s="205">
        <f>'Cash Flow'!E5</f>
        <v>9.4916646085453191</v>
      </c>
      <c r="F8" s="205">
        <f>'Cash Flow'!F5</f>
        <v>-0.15208653331214728</v>
      </c>
      <c r="G8" s="205">
        <f>'Cash Flow'!G5</f>
        <v>-2.2057190449750075E-2</v>
      </c>
      <c r="H8" s="205">
        <f>'Cash Flow'!H5</f>
        <v>-9.2404650040454062E-3</v>
      </c>
      <c r="I8" s="205">
        <f>'Cash Flow'!I5</f>
        <v>0.8517191977077363</v>
      </c>
      <c r="J8" s="205">
        <f>'Cash Flow'!J5</f>
        <v>9.825918762088981E-2</v>
      </c>
      <c r="K8" s="210">
        <f>'Cash Flow'!K5</f>
        <v>-0.1701303275801338</v>
      </c>
    </row>
    <row r="9" spans="1:11" x14ac:dyDescent="0.25">
      <c r="A9" s="43" t="s">
        <v>162</v>
      </c>
      <c r="B9" s="205"/>
      <c r="C9" s="205">
        <f>'Cash Flow'!C14</f>
        <v>-0.63379461854779651</v>
      </c>
      <c r="D9" s="205">
        <f>'Cash Flow'!D14</f>
        <v>2.0034866430805516</v>
      </c>
      <c r="E9" s="205">
        <f>'Cash Flow'!E14</f>
        <v>4.1082677501407705E-2</v>
      </c>
      <c r="F9" s="205">
        <f>'Cash Flow'!F14</f>
        <v>-0.55229693277689829</v>
      </c>
      <c r="G9" s="205">
        <f>'Cash Flow'!G14</f>
        <v>0.50539327900375386</v>
      </c>
      <c r="H9" s="205">
        <f>'Cash Flow'!H14</f>
        <v>2.042772681929879</v>
      </c>
      <c r="I9" s="205">
        <f>'Cash Flow'!I14</f>
        <v>-0.6885519866305243</v>
      </c>
      <c r="J9" s="205">
        <f>'Cash Flow'!J14</f>
        <v>1.1989730423620024</v>
      </c>
      <c r="K9" s="210">
        <f>'Cash Flow'!K14</f>
        <v>12.629889083479275</v>
      </c>
    </row>
    <row r="10" spans="1:11" x14ac:dyDescent="0.25">
      <c r="A10" s="43"/>
      <c r="B10" s="9"/>
      <c r="C10" s="9"/>
      <c r="D10" s="9"/>
      <c r="E10" s="9"/>
      <c r="F10" s="9"/>
      <c r="G10" s="9"/>
      <c r="H10" s="9"/>
      <c r="I10" s="9"/>
      <c r="J10" s="9"/>
      <c r="K10" s="211"/>
    </row>
    <row r="11" spans="1:11" x14ac:dyDescent="0.25">
      <c r="A11" s="43" t="s">
        <v>154</v>
      </c>
      <c r="B11" s="206">
        <f>'Profit &amp; Loss'!B13</f>
        <v>0.15594400042343723</v>
      </c>
      <c r="C11" s="206">
        <f>'Profit &amp; Loss'!C13</f>
        <v>0.18274752286188437</v>
      </c>
      <c r="D11" s="206">
        <f>'Profit &amp; Loss'!D13</f>
        <v>0.1760505362831952</v>
      </c>
      <c r="E11" s="206">
        <f>'Profit &amp; Loss'!E13</f>
        <v>0.17627290244619367</v>
      </c>
      <c r="F11" s="206">
        <f>'Profit &amp; Loss'!F13</f>
        <v>0.18342326717965471</v>
      </c>
      <c r="G11" s="206">
        <f>'Profit &amp; Loss'!G13</f>
        <v>0.19006213132272246</v>
      </c>
      <c r="H11" s="206">
        <f>'Profit &amp; Loss'!H13</f>
        <v>0.16714123006833714</v>
      </c>
      <c r="I11" s="206">
        <f>'Profit &amp; Loss'!I13</f>
        <v>0.17864149092692497</v>
      </c>
      <c r="J11" s="206">
        <f>'Profit &amp; Loss'!J13</f>
        <v>0.1966279203590747</v>
      </c>
      <c r="K11" s="212">
        <f>'Profit &amp; Loss'!K13</f>
        <v>0.17406237120483584</v>
      </c>
    </row>
    <row r="12" spans="1:11" x14ac:dyDescent="0.25">
      <c r="A12" s="43" t="s">
        <v>83</v>
      </c>
      <c r="B12" s="206">
        <f>'Profit &amp; Loss'!B22</f>
        <v>0.11317494763744694</v>
      </c>
      <c r="C12" s="206">
        <f>'Profit &amp; Loss'!C22</f>
        <v>0.11534055007394961</v>
      </c>
      <c r="D12" s="206">
        <f>'Profit &amp; Loss'!D22</f>
        <v>9.4990171183055999E-2</v>
      </c>
      <c r="E12" s="206">
        <f>'Profit &amp; Loss'!E22</f>
        <v>0.10275536975951764</v>
      </c>
      <c r="F12" s="206">
        <f>'Profit &amp; Loss'!F22</f>
        <v>0.10737655604741665</v>
      </c>
      <c r="G12" s="206">
        <f>'Profit &amp; Loss'!G22</f>
        <v>0.11665089673562448</v>
      </c>
      <c r="H12" s="206">
        <f>'Profit &amp; Loss'!H22</f>
        <v>7.9513097949886105E-2</v>
      </c>
      <c r="I12" s="206">
        <f>'Profit &amp; Loss'!I22</f>
        <v>0.1178273663560569</v>
      </c>
      <c r="J12" s="206">
        <f>'Profit &amp; Loss'!J22</f>
        <v>0.13263896881114051</v>
      </c>
      <c r="K12" s="212">
        <f>'Profit &amp; Loss'!K22</f>
        <v>7.7116820076017764E-2</v>
      </c>
    </row>
    <row r="13" spans="1:11" x14ac:dyDescent="0.25">
      <c r="A13" s="43" t="s">
        <v>156</v>
      </c>
      <c r="B13" s="206">
        <f>'Profit &amp; Loss'!B26</f>
        <v>9.7038963788553548E-2</v>
      </c>
      <c r="C13" s="206">
        <f>'Profit &amp; Loss'!C26</f>
        <v>0.10265454772700444</v>
      </c>
      <c r="D13" s="206">
        <f>'Profit &amp; Loss'!D26</f>
        <v>7.8303342840606457E-2</v>
      </c>
      <c r="E13" s="206">
        <f>'Profit &amp; Loss'!E26</f>
        <v>8.0637294925808733E-2</v>
      </c>
      <c r="F13" s="206">
        <f>'Profit &amp; Loss'!F26</f>
        <v>8.6794208086990024E-2</v>
      </c>
      <c r="G13" s="206">
        <f>'Profit &amp; Loss'!G26</f>
        <v>9.6468969076599076E-2</v>
      </c>
      <c r="H13" s="206">
        <f>'Profit &amp; Loss'!H26</f>
        <v>6.7767653758542143E-2</v>
      </c>
      <c r="I13" s="206">
        <f>'Profit &amp; Loss'!I26</f>
        <v>0.1062408043158411</v>
      </c>
      <c r="J13" s="206">
        <f>'Profit &amp; Loss'!J26</f>
        <v>0.11681436298768558</v>
      </c>
      <c r="K13" s="212">
        <f>'Profit &amp; Loss'!K26</f>
        <v>6.9560837111324811E-2</v>
      </c>
    </row>
    <row r="14" spans="1:11" x14ac:dyDescent="0.25">
      <c r="A14" s="43"/>
      <c r="B14" s="9"/>
      <c r="C14" s="9"/>
      <c r="D14" s="9"/>
      <c r="E14" s="9"/>
      <c r="F14" s="9"/>
      <c r="G14" s="9"/>
      <c r="H14" s="9"/>
      <c r="I14" s="9"/>
      <c r="J14" s="9"/>
      <c r="K14" s="211"/>
    </row>
    <row r="15" spans="1:11" x14ac:dyDescent="0.25">
      <c r="A15" s="43" t="str">
        <f>'Balance Sheet'!A26</f>
        <v>Debtor Days</v>
      </c>
      <c r="B15" s="207">
        <f>'Balance Sheet'!B26</f>
        <v>83.727192989088934</v>
      </c>
      <c r="C15" s="207">
        <f>'Balance Sheet'!C26</f>
        <v>93.740704222418188</v>
      </c>
      <c r="D15" s="207">
        <f>'Balance Sheet'!D26</f>
        <v>116.34882914544043</v>
      </c>
      <c r="E15" s="207">
        <f>'Balance Sheet'!E26</f>
        <v>106.68989298583665</v>
      </c>
      <c r="F15" s="207">
        <f>'Balance Sheet'!F26</f>
        <v>108.72722563058916</v>
      </c>
      <c r="G15" s="207">
        <f>'Balance Sheet'!G26</f>
        <v>114.50786235827739</v>
      </c>
      <c r="H15" s="207">
        <f>'Balance Sheet'!H26</f>
        <v>132.50996583143507</v>
      </c>
      <c r="I15" s="207">
        <f>'Balance Sheet'!I26</f>
        <v>126.55958803334968</v>
      </c>
      <c r="J15" s="207">
        <f>'Balance Sheet'!J26</f>
        <v>127.19760616871908</v>
      </c>
      <c r="K15" s="213">
        <f>'Balance Sheet'!K26</f>
        <v>197.43462929889637</v>
      </c>
    </row>
    <row r="16" spans="1:11" x14ac:dyDescent="0.25">
      <c r="A16" s="43" t="str">
        <f>'Balance Sheet'!A27</f>
        <v>Inventory Turnover</v>
      </c>
      <c r="B16" s="207">
        <f>'Balance Sheet'!B27</f>
        <v>5.2461298927972866</v>
      </c>
      <c r="C16" s="207">
        <f>'Balance Sheet'!C27</f>
        <v>4.0985528693598194</v>
      </c>
      <c r="D16" s="207">
        <f>'Balance Sheet'!D27</f>
        <v>4.0851394672659307</v>
      </c>
      <c r="E16" s="207">
        <f>'Balance Sheet'!E27</f>
        <v>4.4403248416880174</v>
      </c>
      <c r="F16" s="207">
        <f>'Balance Sheet'!F27</f>
        <v>4.3429741902446297</v>
      </c>
      <c r="G16" s="207">
        <f>'Balance Sheet'!G27</f>
        <v>4.1157815904139436</v>
      </c>
      <c r="H16" s="207">
        <f>'Balance Sheet'!H27</f>
        <v>3.7095326115658831</v>
      </c>
      <c r="I16" s="207">
        <f>'Balance Sheet'!I27</f>
        <v>3.9249278152069298</v>
      </c>
      <c r="J16" s="207">
        <f>'Balance Sheet'!J27</f>
        <v>3.8294402820625826</v>
      </c>
      <c r="K16" s="213">
        <f>'Balance Sheet'!K27</f>
        <v>2.3556634304207118</v>
      </c>
    </row>
    <row r="17" spans="1:12" x14ac:dyDescent="0.25">
      <c r="A17" s="43" t="str">
        <f>'Balance Sheet'!A28</f>
        <v>Fixed Asset Turnover</v>
      </c>
      <c r="B17" s="207">
        <f>'Balance Sheet'!B28</f>
        <v>2.984895078063726</v>
      </c>
      <c r="C17" s="207">
        <f>'Balance Sheet'!C28</f>
        <v>2.4821423185470843</v>
      </c>
      <c r="D17" s="207">
        <f>'Balance Sheet'!D28</f>
        <v>2.3802242672839085</v>
      </c>
      <c r="E17" s="207">
        <f>'Balance Sheet'!E28</f>
        <v>2.6326016490838904</v>
      </c>
      <c r="F17" s="207">
        <f>'Balance Sheet'!F28</f>
        <v>2.8189158136893373</v>
      </c>
      <c r="G17" s="207">
        <f>'Balance Sheet'!G28</f>
        <v>2.9995335913466308</v>
      </c>
      <c r="H17" s="207">
        <f>'Balance Sheet'!H28</f>
        <v>3.6374935266701192</v>
      </c>
      <c r="I17" s="207">
        <f>'Balance Sheet'!I28</f>
        <v>4.0068779169737168</v>
      </c>
      <c r="J17" s="207">
        <f>'Balance Sheet'!J28</f>
        <v>3.9166103222898356</v>
      </c>
      <c r="K17" s="213">
        <f>'Balance Sheet'!K28</f>
        <v>0.68452399611297454</v>
      </c>
    </row>
    <row r="18" spans="1:12" x14ac:dyDescent="0.25">
      <c r="A18" s="43" t="s">
        <v>81</v>
      </c>
      <c r="B18" s="207">
        <f>'Balance Sheet'!B29</f>
        <v>0.80864092305326885</v>
      </c>
      <c r="C18" s="207">
        <f>'Balance Sheet'!C29</f>
        <v>0.71890339635807354</v>
      </c>
      <c r="D18" s="207">
        <f>'Balance Sheet'!D29</f>
        <v>0.81213052136176622</v>
      </c>
      <c r="E18" s="207">
        <f>'Balance Sheet'!E29</f>
        <v>0.9048699523381023</v>
      </c>
      <c r="F18" s="207">
        <f>'Balance Sheet'!F29</f>
        <v>0.63831177988420973</v>
      </c>
      <c r="G18" s="207">
        <f>'Balance Sheet'!G29</f>
        <v>0.55979612069627482</v>
      </c>
      <c r="H18" s="207">
        <f>'Balance Sheet'!H29</f>
        <v>2.5133843212237093</v>
      </c>
      <c r="I18" s="207">
        <f>'Balance Sheet'!I29</f>
        <v>0.8695830485304169</v>
      </c>
      <c r="J18" s="207">
        <f>'Balance Sheet'!J29</f>
        <v>0.72396117351946776</v>
      </c>
      <c r="K18" s="213">
        <f>'Balance Sheet'!K29</f>
        <v>1.9897575964493002</v>
      </c>
    </row>
    <row r="19" spans="1:12" x14ac:dyDescent="0.25">
      <c r="A19" s="43" t="s">
        <v>163</v>
      </c>
      <c r="B19" s="205">
        <f>'Balance Sheet'!B6/'Balance Sheet'!B14</f>
        <v>0.34657528948126165</v>
      </c>
      <c r="C19" s="205">
        <f>'Balance Sheet'!C6/'Balance Sheet'!C14</f>
        <v>0.32293014132797426</v>
      </c>
      <c r="D19" s="205">
        <f>'Balance Sheet'!D6/'Balance Sheet'!D14</f>
        <v>0.32606783992118443</v>
      </c>
      <c r="E19" s="205">
        <f>'Balance Sheet'!E6/'Balance Sheet'!E14</f>
        <v>0.33753310431331734</v>
      </c>
      <c r="F19" s="205">
        <f>'Balance Sheet'!F6/'Balance Sheet'!F14</f>
        <v>0.26048940579929925</v>
      </c>
      <c r="G19" s="205">
        <f>'Balance Sheet'!G6/'Balance Sheet'!G14</f>
        <v>0.22690592636705256</v>
      </c>
      <c r="H19" s="205">
        <f>'Balance Sheet'!H6/'Balance Sheet'!H14</f>
        <v>0.30951259712738405</v>
      </c>
      <c r="I19" s="205">
        <f>'Balance Sheet'!I6/'Balance Sheet'!I14</f>
        <v>0.31210441097100239</v>
      </c>
      <c r="J19" s="205">
        <f>'Balance Sheet'!J6/'Balance Sheet'!J14</f>
        <v>0.28807012975741009</v>
      </c>
      <c r="K19" s="304">
        <f>'Balance Sheet'!K6/'Balance Sheet'!K14</f>
        <v>0.46218753965232839</v>
      </c>
    </row>
    <row r="20" spans="1:12" x14ac:dyDescent="0.25">
      <c r="A20" s="43" t="s">
        <v>159</v>
      </c>
      <c r="B20" s="207">
        <f>'Profit &amp; Loss'!B19</f>
        <v>4.0894266990040755</v>
      </c>
      <c r="C20" s="207">
        <f>'Profit &amp; Loss'!C19</f>
        <v>3.1296153846153847</v>
      </c>
      <c r="D20" s="207">
        <f>'Profit &amp; Loss'!D19</f>
        <v>2.7574281304263968</v>
      </c>
      <c r="E20" s="207">
        <f>'Profit &amp; Loss'!E19</f>
        <v>3.2003916449086192</v>
      </c>
      <c r="F20" s="207">
        <f>'Profit &amp; Loss'!F19</f>
        <v>3.3831935543695502</v>
      </c>
      <c r="G20" s="207">
        <f>'Profit &amp; Loss'!G19</f>
        <v>3.7277773479808189</v>
      </c>
      <c r="H20" s="207">
        <f>'Profit &amp; Loss'!H19</f>
        <v>2.5866477272727271</v>
      </c>
      <c r="I20" s="207">
        <f>'Profit &amp; Loss'!I19</f>
        <v>3.6149659863945578</v>
      </c>
      <c r="J20" s="207">
        <f>'Profit &amp; Loss'!J19</f>
        <v>3.9438058748403577</v>
      </c>
      <c r="K20" s="306">
        <f>'Profit &amp; Loss'!K19</f>
        <v>2.7487019730010385</v>
      </c>
      <c r="L20" s="2" t="s">
        <v>296</v>
      </c>
    </row>
    <row r="21" spans="1:12" x14ac:dyDescent="0.25">
      <c r="A21" s="43" t="str">
        <f>'Balance Sheet'!A30</f>
        <v>Return on Equity</v>
      </c>
      <c r="B21" s="205">
        <f>'Balance Sheet'!B30</f>
        <v>0.17158175151496913</v>
      </c>
      <c r="C21" s="205">
        <f>'Balance Sheet'!C30</f>
        <v>0.15870962547469841</v>
      </c>
      <c r="D21" s="205">
        <f>'Balance Sheet'!D30</f>
        <v>0.14394300653469502</v>
      </c>
      <c r="E21" s="205">
        <f>'Balance Sheet'!E30</f>
        <v>0.15945638742621474</v>
      </c>
      <c r="F21" s="205">
        <f>'Balance Sheet'!F30</f>
        <v>0.17815421673889245</v>
      </c>
      <c r="G21" s="205">
        <f>'Balance Sheet'!G30</f>
        <v>0.19902633469446304</v>
      </c>
      <c r="H21" s="205">
        <f>'Balance Sheet'!H30</f>
        <v>0.45506692160611856</v>
      </c>
      <c r="I21" s="205">
        <f>'Balance Sheet'!I30</f>
        <v>0.23691045796308954</v>
      </c>
      <c r="J21" s="205">
        <f>'Balance Sheet'!J30</f>
        <v>0.22139818955175047</v>
      </c>
      <c r="K21" s="304">
        <f>'Balance Sheet'!K30</f>
        <v>0.10372140662342097</v>
      </c>
      <c r="L21" s="10" t="s">
        <v>277</v>
      </c>
    </row>
    <row r="22" spans="1:12" x14ac:dyDescent="0.25">
      <c r="A22" s="43" t="str">
        <f>'Balance Sheet'!A31</f>
        <v>Return on Capital Employed</v>
      </c>
      <c r="B22" s="205">
        <f>'Balance Sheet'!B31</f>
        <v>0.14645608756798506</v>
      </c>
      <c r="C22" s="205">
        <f>'Balance Sheet'!C31</f>
        <v>0.15245631346881675</v>
      </c>
      <c r="D22" s="205">
        <f>'Balance Sheet'!D31</f>
        <v>0.15119105236293062</v>
      </c>
      <c r="E22" s="205">
        <f>'Balance Sheet'!E31</f>
        <v>0.15514875900431044</v>
      </c>
      <c r="F22" s="205">
        <f>'Balance Sheet'!F31</f>
        <v>0.19097908434542168</v>
      </c>
      <c r="G22" s="205">
        <f>'Balance Sheet'!G31</f>
        <v>0.21085514368356822</v>
      </c>
      <c r="H22" s="205">
        <f>'Balance Sheet'!H31</f>
        <v>0.24775510204081633</v>
      </c>
      <c r="I22" s="205">
        <f>'Balance Sheet'!I31</f>
        <v>0.1942819537876572</v>
      </c>
      <c r="J22" s="205">
        <f>'Balance Sheet'!J31</f>
        <v>0.19535648763206173</v>
      </c>
      <c r="K22" s="304">
        <f>'Balance Sheet'!K31</f>
        <v>6.0454493548018726E-2</v>
      </c>
    </row>
    <row r="23" spans="1:12" ht="13.8" thickBot="1" x14ac:dyDescent="0.3">
      <c r="A23" s="214" t="s">
        <v>158</v>
      </c>
      <c r="B23" s="215">
        <f>'Cash Flow'!B12</f>
        <v>1065.1399999999999</v>
      </c>
      <c r="C23" s="215">
        <f>'Cash Flow'!C12</f>
        <v>390.06000000000006</v>
      </c>
      <c r="D23" s="215">
        <f>'Cash Flow'!D12</f>
        <v>1171.5400000000002</v>
      </c>
      <c r="E23" s="215">
        <f>'Cash Flow'!E12</f>
        <v>1219.6699999999994</v>
      </c>
      <c r="F23" s="215">
        <f>'Cash Flow'!F12</f>
        <v>546.0500000000003</v>
      </c>
      <c r="G23" s="215">
        <f>'Cash Flow'!G12</f>
        <v>822.02000000000021</v>
      </c>
      <c r="H23" s="215">
        <f>'Cash Flow'!H12</f>
        <v>2501.2199999999998</v>
      </c>
      <c r="I23" s="215">
        <f>'Cash Flow'!I12</f>
        <v>779</v>
      </c>
      <c r="J23" s="215">
        <f>'Cash Flow'!J12</f>
        <v>1713</v>
      </c>
      <c r="K23" s="216">
        <f>'Cash Flow'!K12</f>
        <v>23348</v>
      </c>
    </row>
  </sheetData>
  <mergeCells count="2">
    <mergeCell ref="A1:K1"/>
    <mergeCell ref="A2: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2CD1-85F9-460E-836A-2AEA757F9EF8}">
  <dimension ref="A2:T79"/>
  <sheetViews>
    <sheetView workbookViewId="0">
      <selection activeCell="R19" sqref="R19"/>
    </sheetView>
  </sheetViews>
  <sheetFormatPr defaultRowHeight="14.4" x14ac:dyDescent="0.3"/>
  <cols>
    <col min="1" max="1" width="16" customWidth="1"/>
    <col min="2" max="11" width="7.88671875" bestFit="1" customWidth="1"/>
  </cols>
  <sheetData>
    <row r="2" spans="18:20" ht="15" thickBot="1" x14ac:dyDescent="0.35"/>
    <row r="3" spans="18:20" x14ac:dyDescent="0.3">
      <c r="R3" s="338" t="s">
        <v>173</v>
      </c>
      <c r="S3" s="339"/>
      <c r="T3" s="340"/>
    </row>
    <row r="4" spans="18:20" x14ac:dyDescent="0.3">
      <c r="R4" s="341"/>
      <c r="S4" s="342"/>
      <c r="T4" s="343"/>
    </row>
    <row r="5" spans="18:20" x14ac:dyDescent="0.3">
      <c r="R5" s="341"/>
      <c r="S5" s="342"/>
      <c r="T5" s="343"/>
    </row>
    <row r="6" spans="18:20" x14ac:dyDescent="0.3">
      <c r="R6" s="341"/>
      <c r="S6" s="342"/>
      <c r="T6" s="343"/>
    </row>
    <row r="7" spans="18:20" x14ac:dyDescent="0.3">
      <c r="R7" s="341"/>
      <c r="S7" s="342"/>
      <c r="T7" s="343"/>
    </row>
    <row r="8" spans="18:20" x14ac:dyDescent="0.3">
      <c r="R8" s="341"/>
      <c r="S8" s="342"/>
      <c r="T8" s="343"/>
    </row>
    <row r="9" spans="18:20" x14ac:dyDescent="0.3">
      <c r="R9" s="341"/>
      <c r="S9" s="342"/>
      <c r="T9" s="343"/>
    </row>
    <row r="10" spans="18:20" ht="15" thickBot="1" x14ac:dyDescent="0.35">
      <c r="R10" s="344"/>
      <c r="S10" s="345"/>
      <c r="T10" s="346"/>
    </row>
    <row r="47" spans="1:13" x14ac:dyDescent="0.3">
      <c r="A47" s="217"/>
      <c r="B47" s="217"/>
      <c r="C47" s="217"/>
      <c r="D47" s="217"/>
      <c r="E47" s="217"/>
      <c r="F47" s="217"/>
      <c r="G47" s="217"/>
      <c r="H47" s="217"/>
      <c r="I47" s="217"/>
      <c r="J47" s="217"/>
      <c r="K47" s="217"/>
      <c r="L47" s="217"/>
      <c r="M47" s="217"/>
    </row>
    <row r="48" spans="1:13" x14ac:dyDescent="0.3">
      <c r="A48" s="218" t="s">
        <v>177</v>
      </c>
      <c r="B48" s="217"/>
      <c r="C48" s="217"/>
      <c r="D48" s="217"/>
      <c r="E48" s="217"/>
      <c r="F48" s="217"/>
      <c r="G48" s="217"/>
      <c r="H48" s="217"/>
      <c r="I48" s="217"/>
      <c r="J48" s="217"/>
      <c r="K48" s="217"/>
      <c r="L48" s="217"/>
      <c r="M48" s="217"/>
    </row>
    <row r="49" spans="1:13" x14ac:dyDescent="0.3">
      <c r="A49" s="218" t="s">
        <v>164</v>
      </c>
      <c r="B49" s="219"/>
      <c r="C49" s="219"/>
      <c r="D49" s="219"/>
      <c r="E49" s="219"/>
      <c r="F49" s="219"/>
      <c r="G49" s="219"/>
      <c r="H49" s="219"/>
      <c r="I49" s="219"/>
      <c r="J49" s="219"/>
      <c r="K49" s="219"/>
      <c r="L49" s="217"/>
      <c r="M49" s="217"/>
    </row>
    <row r="50" spans="1:13" x14ac:dyDescent="0.3">
      <c r="A50" s="217"/>
      <c r="B50" s="220">
        <f>'Key Ratios'!B3</f>
        <v>40268</v>
      </c>
      <c r="C50" s="220">
        <f>'Key Ratios'!C3</f>
        <v>40633</v>
      </c>
      <c r="D50" s="220">
        <f>'Key Ratios'!D3</f>
        <v>40999</v>
      </c>
      <c r="E50" s="220">
        <f>'Key Ratios'!E3</f>
        <v>41364</v>
      </c>
      <c r="F50" s="220">
        <f>'Key Ratios'!F3</f>
        <v>41729</v>
      </c>
      <c r="G50" s="220">
        <f>'Key Ratios'!G3</f>
        <v>42094</v>
      </c>
      <c r="H50" s="220">
        <f>'Key Ratios'!H3</f>
        <v>42460</v>
      </c>
      <c r="I50" s="220">
        <f>'Key Ratios'!I3</f>
        <v>42825</v>
      </c>
      <c r="J50" s="220">
        <f>'Key Ratios'!J3</f>
        <v>43190</v>
      </c>
      <c r="K50" s="220">
        <f>'Key Ratios'!K3</f>
        <v>43555</v>
      </c>
      <c r="L50" s="217"/>
      <c r="M50" s="217"/>
    </row>
    <row r="51" spans="1:13" x14ac:dyDescent="0.3">
      <c r="A51" s="217" t="str">
        <f>'Key Ratios'!A11</f>
        <v>Operating Margin</v>
      </c>
      <c r="B51" s="221">
        <f>'Key Ratios'!B11</f>
        <v>0.15594400042343723</v>
      </c>
      <c r="C51" s="221">
        <f>'Key Ratios'!C11</f>
        <v>0.18274752286188437</v>
      </c>
      <c r="D51" s="221">
        <f>'Key Ratios'!D11</f>
        <v>0.1760505362831952</v>
      </c>
      <c r="E51" s="221">
        <f>'Key Ratios'!E11</f>
        <v>0.17627290244619367</v>
      </c>
      <c r="F51" s="221">
        <f>'Key Ratios'!F11</f>
        <v>0.18342326717965471</v>
      </c>
      <c r="G51" s="221">
        <f>'Key Ratios'!G11</f>
        <v>0.19006213132272246</v>
      </c>
      <c r="H51" s="221">
        <f>'Key Ratios'!H11</f>
        <v>0.16714123006833714</v>
      </c>
      <c r="I51" s="221">
        <f>'Key Ratios'!I11</f>
        <v>0.17864149092692497</v>
      </c>
      <c r="J51" s="221">
        <f>'Key Ratios'!J11</f>
        <v>0.1966279203590747</v>
      </c>
      <c r="K51" s="221">
        <f>'Key Ratios'!K11</f>
        <v>0.17406237120483584</v>
      </c>
      <c r="L51" s="217"/>
      <c r="M51" s="217"/>
    </row>
    <row r="52" spans="1:13" x14ac:dyDescent="0.3">
      <c r="A52" s="217" t="str">
        <f>'Key Ratios'!A12</f>
        <v>PBT Margin</v>
      </c>
      <c r="B52" s="221">
        <f>'Key Ratios'!B12</f>
        <v>0.11317494763744694</v>
      </c>
      <c r="C52" s="221">
        <f>'Key Ratios'!C12</f>
        <v>0.11534055007394961</v>
      </c>
      <c r="D52" s="221">
        <f>'Key Ratios'!D12</f>
        <v>9.4990171183055999E-2</v>
      </c>
      <c r="E52" s="221">
        <f>'Key Ratios'!E12</f>
        <v>0.10275536975951764</v>
      </c>
      <c r="F52" s="221">
        <f>'Key Ratios'!F12</f>
        <v>0.10737655604741665</v>
      </c>
      <c r="G52" s="221">
        <f>'Key Ratios'!G12</f>
        <v>0.11665089673562448</v>
      </c>
      <c r="H52" s="221">
        <f>'Key Ratios'!H12</f>
        <v>7.9513097949886105E-2</v>
      </c>
      <c r="I52" s="221">
        <f>'Key Ratios'!I12</f>
        <v>0.1178273663560569</v>
      </c>
      <c r="J52" s="221">
        <f>'Key Ratios'!J12</f>
        <v>0.13263896881114051</v>
      </c>
      <c r="K52" s="221">
        <f>'Key Ratios'!K12</f>
        <v>7.7116820076017764E-2</v>
      </c>
      <c r="L52" s="217"/>
      <c r="M52" s="217"/>
    </row>
    <row r="53" spans="1:13" x14ac:dyDescent="0.3">
      <c r="A53" s="217" t="str">
        <f>'Key Ratios'!A13</f>
        <v>Net Margin</v>
      </c>
      <c r="B53" s="221">
        <f>'Key Ratios'!B13</f>
        <v>9.7038963788553548E-2</v>
      </c>
      <c r="C53" s="221">
        <f>'Key Ratios'!C13</f>
        <v>0.10265454772700444</v>
      </c>
      <c r="D53" s="221">
        <f>'Key Ratios'!D13</f>
        <v>7.8303342840606457E-2</v>
      </c>
      <c r="E53" s="221">
        <f>'Key Ratios'!E13</f>
        <v>8.0637294925808733E-2</v>
      </c>
      <c r="F53" s="221">
        <f>'Key Ratios'!F13</f>
        <v>8.6794208086990024E-2</v>
      </c>
      <c r="G53" s="221">
        <f>'Key Ratios'!G13</f>
        <v>9.6468969076599076E-2</v>
      </c>
      <c r="H53" s="221">
        <f>'Key Ratios'!H13</f>
        <v>6.7767653758542143E-2</v>
      </c>
      <c r="I53" s="221">
        <f>'Key Ratios'!I13</f>
        <v>0.1062408043158411</v>
      </c>
      <c r="J53" s="221">
        <f>'Key Ratios'!J13</f>
        <v>0.11681436298768558</v>
      </c>
      <c r="K53" s="221">
        <f>'Key Ratios'!K13</f>
        <v>6.9560837111324811E-2</v>
      </c>
      <c r="L53" s="217"/>
      <c r="M53" s="217"/>
    </row>
    <row r="54" spans="1:13" x14ac:dyDescent="0.3">
      <c r="A54" s="217"/>
      <c r="B54" s="217"/>
      <c r="C54" s="217"/>
      <c r="D54" s="217"/>
      <c r="E54" s="217"/>
      <c r="F54" s="217"/>
      <c r="G54" s="217"/>
      <c r="H54" s="217"/>
      <c r="I54" s="217"/>
      <c r="J54" s="217"/>
      <c r="K54" s="217"/>
      <c r="L54" s="217"/>
      <c r="M54" s="217"/>
    </row>
    <row r="55" spans="1:13" x14ac:dyDescent="0.3">
      <c r="A55" s="218" t="s">
        <v>165</v>
      </c>
      <c r="B55" s="217"/>
      <c r="C55" s="217"/>
      <c r="D55" s="217"/>
      <c r="E55" s="217"/>
      <c r="F55" s="217"/>
      <c r="G55" s="217"/>
      <c r="H55" s="217"/>
      <c r="I55" s="217"/>
      <c r="J55" s="217"/>
      <c r="K55" s="217"/>
      <c r="L55" s="217"/>
      <c r="M55" s="217"/>
    </row>
    <row r="56" spans="1:13" x14ac:dyDescent="0.3">
      <c r="A56" s="217"/>
      <c r="B56" s="220">
        <f>B50</f>
        <v>40268</v>
      </c>
      <c r="C56" s="220">
        <f t="shared" ref="C56:K56" si="0">C50</f>
        <v>40633</v>
      </c>
      <c r="D56" s="220">
        <f t="shared" si="0"/>
        <v>40999</v>
      </c>
      <c r="E56" s="220">
        <f t="shared" si="0"/>
        <v>41364</v>
      </c>
      <c r="F56" s="220">
        <f t="shared" si="0"/>
        <v>41729</v>
      </c>
      <c r="G56" s="220">
        <f t="shared" si="0"/>
        <v>42094</v>
      </c>
      <c r="H56" s="220">
        <f t="shared" si="0"/>
        <v>42460</v>
      </c>
      <c r="I56" s="220">
        <f t="shared" si="0"/>
        <v>42825</v>
      </c>
      <c r="J56" s="220">
        <f t="shared" si="0"/>
        <v>43190</v>
      </c>
      <c r="K56" s="220">
        <f t="shared" si="0"/>
        <v>43555</v>
      </c>
      <c r="L56" s="217"/>
      <c r="M56" s="217"/>
    </row>
    <row r="57" spans="1:13" x14ac:dyDescent="0.3">
      <c r="A57" s="217" t="s">
        <v>166</v>
      </c>
      <c r="B57" s="221">
        <f>'Key Ratios'!B21</f>
        <v>0.17158175151496913</v>
      </c>
      <c r="C57" s="221">
        <f>'Key Ratios'!C21</f>
        <v>0.15870962547469841</v>
      </c>
      <c r="D57" s="221">
        <f>'Key Ratios'!D21</f>
        <v>0.14394300653469502</v>
      </c>
      <c r="E57" s="221">
        <f>'Key Ratios'!E21</f>
        <v>0.15945638742621474</v>
      </c>
      <c r="F57" s="221">
        <f>'Key Ratios'!F21</f>
        <v>0.17815421673889245</v>
      </c>
      <c r="G57" s="221">
        <f>'Key Ratios'!G21</f>
        <v>0.19902633469446304</v>
      </c>
      <c r="H57" s="221">
        <f>'Key Ratios'!H21</f>
        <v>0.45506692160611856</v>
      </c>
      <c r="I57" s="221">
        <f>'Key Ratios'!I21</f>
        <v>0.23691045796308954</v>
      </c>
      <c r="J57" s="221">
        <f>'Key Ratios'!J21</f>
        <v>0.22139818955175047</v>
      </c>
      <c r="K57" s="221">
        <f>'Key Ratios'!K21</f>
        <v>0.10372140662342097</v>
      </c>
      <c r="L57" s="217"/>
      <c r="M57" s="217"/>
    </row>
    <row r="58" spans="1:13" x14ac:dyDescent="0.3">
      <c r="A58" s="217" t="s">
        <v>167</v>
      </c>
      <c r="B58" s="221">
        <f>'Key Ratios'!B22</f>
        <v>0.14645608756798506</v>
      </c>
      <c r="C58" s="221">
        <f>'Key Ratios'!C22</f>
        <v>0.15245631346881675</v>
      </c>
      <c r="D58" s="221">
        <f>'Key Ratios'!D22</f>
        <v>0.15119105236293062</v>
      </c>
      <c r="E58" s="221">
        <f>'Key Ratios'!E22</f>
        <v>0.15514875900431044</v>
      </c>
      <c r="F58" s="221">
        <f>'Key Ratios'!F22</f>
        <v>0.19097908434542168</v>
      </c>
      <c r="G58" s="221">
        <f>'Key Ratios'!G22</f>
        <v>0.21085514368356822</v>
      </c>
      <c r="H58" s="221">
        <f>'Key Ratios'!H22</f>
        <v>0.24775510204081633</v>
      </c>
      <c r="I58" s="221">
        <f>'Key Ratios'!I22</f>
        <v>0.1942819537876572</v>
      </c>
      <c r="J58" s="221">
        <f>'Key Ratios'!J22</f>
        <v>0.19535648763206173</v>
      </c>
      <c r="K58" s="221">
        <f>'Key Ratios'!K22</f>
        <v>6.0454493548018726E-2</v>
      </c>
      <c r="L58" s="217"/>
      <c r="M58" s="217"/>
    </row>
    <row r="59" spans="1:13" x14ac:dyDescent="0.3">
      <c r="A59" s="217"/>
      <c r="B59" s="217"/>
      <c r="C59" s="217"/>
      <c r="D59" s="217"/>
      <c r="E59" s="217"/>
      <c r="F59" s="217"/>
      <c r="G59" s="217"/>
      <c r="H59" s="217"/>
      <c r="I59" s="217"/>
      <c r="J59" s="217"/>
      <c r="K59" s="217"/>
      <c r="L59" s="217"/>
      <c r="M59" s="217"/>
    </row>
    <row r="60" spans="1:13" x14ac:dyDescent="0.3">
      <c r="A60" s="218" t="s">
        <v>169</v>
      </c>
      <c r="B60" s="217"/>
      <c r="C60" s="217"/>
      <c r="D60" s="217"/>
      <c r="E60" s="217"/>
      <c r="F60" s="217"/>
      <c r="G60" s="217"/>
      <c r="H60" s="217"/>
      <c r="I60" s="217"/>
      <c r="J60" s="217"/>
      <c r="K60" s="217"/>
      <c r="L60" s="217"/>
      <c r="M60" s="217"/>
    </row>
    <row r="61" spans="1:13" x14ac:dyDescent="0.3">
      <c r="A61" s="217"/>
      <c r="B61" s="220">
        <f t="shared" ref="B61:J61" si="1">C56</f>
        <v>40633</v>
      </c>
      <c r="C61" s="220">
        <f t="shared" si="1"/>
        <v>40999</v>
      </c>
      <c r="D61" s="220">
        <f t="shared" si="1"/>
        <v>41364</v>
      </c>
      <c r="E61" s="220">
        <f t="shared" si="1"/>
        <v>41729</v>
      </c>
      <c r="F61" s="220">
        <f t="shared" si="1"/>
        <v>42094</v>
      </c>
      <c r="G61" s="220">
        <f t="shared" si="1"/>
        <v>42460</v>
      </c>
      <c r="H61" s="220">
        <f t="shared" si="1"/>
        <v>42825</v>
      </c>
      <c r="I61" s="220">
        <f t="shared" si="1"/>
        <v>43190</v>
      </c>
      <c r="J61" s="220">
        <f t="shared" si="1"/>
        <v>43555</v>
      </c>
      <c r="K61" s="217"/>
      <c r="L61" s="217"/>
      <c r="M61" s="217"/>
    </row>
    <row r="62" spans="1:13" x14ac:dyDescent="0.3">
      <c r="A62" s="217" t="s">
        <v>170</v>
      </c>
      <c r="B62" s="221">
        <f>'Key Ratios'!C4</f>
        <v>8.8967191174357918E-2</v>
      </c>
      <c r="C62" s="221">
        <f>'Key Ratios'!D4</f>
        <v>0.33166917794427042</v>
      </c>
      <c r="D62" s="221">
        <f>'Key Ratios'!E4</f>
        <v>0.19740800800905212</v>
      </c>
      <c r="E62" s="221">
        <f>'Key Ratios'!F4</f>
        <v>0.17257040835211224</v>
      </c>
      <c r="F62" s="221">
        <f>'Key Ratios'!G4</f>
        <v>0.12251923705398271</v>
      </c>
      <c r="G62" s="221">
        <f>'Key Ratios'!H4</f>
        <v>0.16190205218634102</v>
      </c>
      <c r="H62" s="221">
        <f>'Key Ratios'!I4</f>
        <v>0.16116173120728927</v>
      </c>
      <c r="I62" s="221">
        <f>'Key Ratios'!J4</f>
        <v>6.5350662089259437E-2</v>
      </c>
      <c r="J62" s="221">
        <f>'Key Ratios'!K4</f>
        <v>0.25658879042467486</v>
      </c>
      <c r="K62" s="217"/>
      <c r="L62" s="217"/>
      <c r="M62" s="217"/>
    </row>
    <row r="63" spans="1:13" x14ac:dyDescent="0.3">
      <c r="A63" s="217" t="s">
        <v>119</v>
      </c>
      <c r="B63" s="221">
        <f>'Key Ratios'!C5</f>
        <v>0.10980457658259613</v>
      </c>
      <c r="C63" s="221">
        <f>'Key Ratios'!D5</f>
        <v>9.6713021491784179E-2</v>
      </c>
      <c r="D63" s="221">
        <f>'Key Ratios'!E5</f>
        <v>0.29529298751200739</v>
      </c>
      <c r="E63" s="221">
        <f>'Key Ratios'!F5</f>
        <v>0.22530406407593917</v>
      </c>
      <c r="F63" s="221">
        <f>'Key Ratios'!G5</f>
        <v>0.21947360229650825</v>
      </c>
      <c r="G63" s="221">
        <f>'Key Ratios'!H5</f>
        <v>-0.20800924580074875</v>
      </c>
      <c r="H63" s="221">
        <f>'Key Ratios'!I5</f>
        <v>0.72068039391226502</v>
      </c>
      <c r="I63" s="221">
        <f>'Key Ratios'!J5</f>
        <v>0.1992715920915713</v>
      </c>
      <c r="J63" s="221">
        <f>'Key Ratios'!K5</f>
        <v>-0.26941431670282001</v>
      </c>
      <c r="K63" s="217"/>
      <c r="L63" s="217"/>
      <c r="M63" s="217"/>
    </row>
    <row r="64" spans="1:13" x14ac:dyDescent="0.3">
      <c r="A64" s="217" t="s">
        <v>155</v>
      </c>
      <c r="B64" s="221">
        <f>'Key Ratios'!C6</f>
        <v>0.15198503915533612</v>
      </c>
      <c r="C64" s="221">
        <f>'Key Ratios'!D6</f>
        <v>1.577719155844326E-2</v>
      </c>
      <c r="D64" s="221">
        <f>'Key Ratios'!E6</f>
        <v>0.23309860327290277</v>
      </c>
      <c r="E64" s="221">
        <f>'Key Ratios'!F6</f>
        <v>0.26209987714489791</v>
      </c>
      <c r="F64" s="221">
        <f>'Key Ratios'!G6</f>
        <v>0.24764400705996037</v>
      </c>
      <c r="G64" s="221">
        <f>'Key Ratios'!H6</f>
        <v>-0.1837854521760024</v>
      </c>
      <c r="H64" s="221">
        <f>'Key Ratios'!I6</f>
        <v>0.82037815126050417</v>
      </c>
      <c r="I64" s="221">
        <f>'Key Ratios'!J6</f>
        <v>0.17137911136757067</v>
      </c>
      <c r="J64" s="221">
        <f>'Key Ratios'!K6</f>
        <v>-0.25172413793103443</v>
      </c>
      <c r="K64" s="217"/>
      <c r="L64" s="217"/>
      <c r="M64" s="217"/>
    </row>
    <row r="65" spans="1:13" x14ac:dyDescent="0.3">
      <c r="A65" s="217"/>
      <c r="B65" s="217"/>
      <c r="C65" s="217"/>
      <c r="D65" s="217"/>
      <c r="E65" s="217"/>
      <c r="F65" s="217"/>
      <c r="G65" s="217"/>
      <c r="H65" s="217"/>
      <c r="I65" s="217"/>
      <c r="J65" s="217"/>
      <c r="K65" s="217"/>
      <c r="L65" s="217"/>
      <c r="M65" s="217"/>
    </row>
    <row r="66" spans="1:13" x14ac:dyDescent="0.3">
      <c r="A66" s="218" t="s">
        <v>171</v>
      </c>
      <c r="B66" s="219"/>
      <c r="C66" s="219"/>
      <c r="D66" s="219"/>
      <c r="E66" s="219"/>
      <c r="F66" s="219"/>
      <c r="G66" s="219"/>
      <c r="H66" s="219"/>
      <c r="I66" s="219"/>
      <c r="J66" s="219"/>
      <c r="K66" s="219"/>
      <c r="L66" s="217"/>
      <c r="M66" s="217"/>
    </row>
    <row r="67" spans="1:13" x14ac:dyDescent="0.3">
      <c r="A67" s="217"/>
      <c r="B67" s="220">
        <f>B56</f>
        <v>40268</v>
      </c>
      <c r="C67" s="220">
        <f t="shared" ref="C67:K67" si="2">C56</f>
        <v>40633</v>
      </c>
      <c r="D67" s="220">
        <f t="shared" si="2"/>
        <v>40999</v>
      </c>
      <c r="E67" s="220">
        <f t="shared" si="2"/>
        <v>41364</v>
      </c>
      <c r="F67" s="220">
        <f t="shared" si="2"/>
        <v>41729</v>
      </c>
      <c r="G67" s="220">
        <f t="shared" si="2"/>
        <v>42094</v>
      </c>
      <c r="H67" s="220">
        <f t="shared" si="2"/>
        <v>42460</v>
      </c>
      <c r="I67" s="220">
        <f t="shared" si="2"/>
        <v>42825</v>
      </c>
      <c r="J67" s="220">
        <f t="shared" si="2"/>
        <v>43190</v>
      </c>
      <c r="K67" s="220">
        <f t="shared" si="2"/>
        <v>43555</v>
      </c>
      <c r="L67" s="217"/>
      <c r="M67" s="217"/>
    </row>
    <row r="68" spans="1:13" x14ac:dyDescent="0.3">
      <c r="A68" s="217" t="s">
        <v>172</v>
      </c>
      <c r="B68" s="222">
        <f>'Profit &amp; Loss'!B4</f>
        <v>5290.04</v>
      </c>
      <c r="C68" s="222">
        <f>'Profit &amp; Loss'!C4</f>
        <v>5760.68</v>
      </c>
      <c r="D68" s="222">
        <f>'Profit &amp; Loss'!D4</f>
        <v>7671.32</v>
      </c>
      <c r="E68" s="222">
        <f>'Profit &amp; Loss'!E4</f>
        <v>9185.7000000000007</v>
      </c>
      <c r="F68" s="222">
        <f>'Profit &amp; Loss'!F4</f>
        <v>10770.88</v>
      </c>
      <c r="G68" s="222">
        <f>'Profit &amp; Loss'!G4</f>
        <v>12090.52</v>
      </c>
      <c r="H68" s="222">
        <f>'Profit &amp; Loss'!H4</f>
        <v>14048</v>
      </c>
      <c r="I68" s="222">
        <f>'Profit &amp; Loss'!I4</f>
        <v>16312</v>
      </c>
      <c r="J68" s="222">
        <f>'Profit &amp; Loss'!J4</f>
        <v>17378</v>
      </c>
      <c r="K68" s="222">
        <f>'Profit &amp; Loss'!K4</f>
        <v>21837</v>
      </c>
      <c r="L68" s="217"/>
      <c r="M68" s="217"/>
    </row>
    <row r="69" spans="1:13" x14ac:dyDescent="0.3">
      <c r="A69" s="217" t="s">
        <v>99</v>
      </c>
      <c r="B69" s="222">
        <f>'Profit &amp; Loss'!B20</f>
        <v>598.69999999999982</v>
      </c>
      <c r="C69" s="222">
        <f>'Profit &amp; Loss'!C20</f>
        <v>664.44</v>
      </c>
      <c r="D69" s="222">
        <f>'Profit &amp; Loss'!D20</f>
        <v>728.70000000000107</v>
      </c>
      <c r="E69" s="222">
        <f>'Profit &amp; Loss'!E20</f>
        <v>943.88000000000125</v>
      </c>
      <c r="F69" s="222">
        <f>'Profit &amp; Loss'!F20</f>
        <v>1156.5399999999991</v>
      </c>
      <c r="G69" s="222">
        <f>'Profit &amp; Loss'!G20</f>
        <v>1410.3700000000026</v>
      </c>
      <c r="H69" s="222">
        <f>'Profit &amp; Loss'!H20</f>
        <v>1117</v>
      </c>
      <c r="I69" s="222">
        <f>'Profit &amp; Loss'!I20</f>
        <v>1922</v>
      </c>
      <c r="J69" s="222">
        <f>'Profit &amp; Loss'!J20</f>
        <v>2305</v>
      </c>
      <c r="K69" s="222">
        <f>'Profit &amp; Loss'!K20</f>
        <v>1684</v>
      </c>
      <c r="L69" s="217"/>
      <c r="M69" s="217"/>
    </row>
    <row r="70" spans="1:13" x14ac:dyDescent="0.3">
      <c r="A70" s="217" t="s">
        <v>115</v>
      </c>
      <c r="B70" s="222">
        <f>'Profit &amp; Loss'!B24</f>
        <v>513.3399999999998</v>
      </c>
      <c r="C70" s="222">
        <f>'Profit &amp; Loss'!C24</f>
        <v>591.36</v>
      </c>
      <c r="D70" s="222">
        <f>'Profit &amp; Loss'!D24</f>
        <v>600.69000000000108</v>
      </c>
      <c r="E70" s="222">
        <f>'Profit &amp; Loss'!E24</f>
        <v>740.71000000000129</v>
      </c>
      <c r="F70" s="222">
        <f>'Profit &amp; Loss'!F24</f>
        <v>934.849999999999</v>
      </c>
      <c r="G70" s="222">
        <f>'Profit &amp; Loss'!G24</f>
        <v>1166.3600000000026</v>
      </c>
      <c r="H70" s="222">
        <f>'Profit &amp; Loss'!H24</f>
        <v>952</v>
      </c>
      <c r="I70" s="222">
        <f>'Profit &amp; Loss'!I24</f>
        <v>1733</v>
      </c>
      <c r="J70" s="222">
        <f>'Profit &amp; Loss'!J24</f>
        <v>2030</v>
      </c>
      <c r="K70" s="222">
        <f>'Profit &amp; Loss'!K24</f>
        <v>1519</v>
      </c>
      <c r="L70" s="217"/>
      <c r="M70" s="217"/>
    </row>
    <row r="71" spans="1:13" x14ac:dyDescent="0.3">
      <c r="A71" s="217"/>
      <c r="B71" s="217"/>
      <c r="C71" s="217"/>
      <c r="D71" s="217"/>
      <c r="E71" s="217"/>
      <c r="F71" s="217"/>
      <c r="G71" s="217"/>
      <c r="H71" s="217"/>
      <c r="I71" s="217"/>
      <c r="J71" s="217"/>
      <c r="K71" s="217"/>
      <c r="L71" s="217"/>
      <c r="M71" s="217"/>
    </row>
    <row r="72" spans="1:13" x14ac:dyDescent="0.3">
      <c r="A72" s="218" t="s">
        <v>174</v>
      </c>
      <c r="B72" s="219"/>
      <c r="C72" s="219"/>
      <c r="D72" s="219"/>
      <c r="E72" s="219"/>
      <c r="F72" s="219"/>
      <c r="G72" s="219"/>
      <c r="H72" s="219"/>
      <c r="I72" s="219"/>
      <c r="J72" s="219"/>
      <c r="K72" s="219"/>
      <c r="L72" s="217"/>
      <c r="M72" s="217"/>
    </row>
    <row r="73" spans="1:13" x14ac:dyDescent="0.3">
      <c r="A73" s="217"/>
      <c r="B73" s="220">
        <f>B67</f>
        <v>40268</v>
      </c>
      <c r="C73" s="220">
        <f t="shared" ref="C73:K73" si="3">C67</f>
        <v>40633</v>
      </c>
      <c r="D73" s="220">
        <f t="shared" si="3"/>
        <v>40999</v>
      </c>
      <c r="E73" s="220">
        <f t="shared" si="3"/>
        <v>41364</v>
      </c>
      <c r="F73" s="220">
        <f t="shared" si="3"/>
        <v>41729</v>
      </c>
      <c r="G73" s="220">
        <f t="shared" si="3"/>
        <v>42094</v>
      </c>
      <c r="H73" s="220">
        <f t="shared" si="3"/>
        <v>42460</v>
      </c>
      <c r="I73" s="220">
        <f t="shared" si="3"/>
        <v>42825</v>
      </c>
      <c r="J73" s="220">
        <f t="shared" si="3"/>
        <v>43190</v>
      </c>
      <c r="K73" s="220">
        <f t="shared" si="3"/>
        <v>43555</v>
      </c>
      <c r="L73" s="217"/>
      <c r="M73" s="217"/>
    </row>
    <row r="74" spans="1:13" x14ac:dyDescent="0.3">
      <c r="A74" s="217" t="s">
        <v>175</v>
      </c>
      <c r="B74" s="222">
        <f>'Cash Flow'!B4</f>
        <v>1293.5899999999999</v>
      </c>
      <c r="C74" s="222">
        <f>'Cash Flow'!C4</f>
        <v>814.82</v>
      </c>
      <c r="D74" s="222">
        <f>'Cash Flow'!D4</f>
        <v>161.96</v>
      </c>
      <c r="E74" s="222">
        <f>'Cash Flow'!E4</f>
        <v>1699.23</v>
      </c>
      <c r="F74" s="222">
        <f>'Cash Flow'!F4</f>
        <v>1440.8</v>
      </c>
      <c r="G74" s="222">
        <f>'Cash Flow'!G4</f>
        <v>1409.02</v>
      </c>
      <c r="H74" s="222">
        <f>'Cash Flow'!H4</f>
        <v>1396</v>
      </c>
      <c r="I74" s="222">
        <f>'Cash Flow'!I4</f>
        <v>2585</v>
      </c>
      <c r="J74" s="222">
        <f>'Cash Flow'!J4</f>
        <v>2839</v>
      </c>
      <c r="K74" s="222">
        <f>'Cash Flow'!K4</f>
        <v>2356</v>
      </c>
      <c r="L74" s="217"/>
      <c r="M74" s="217"/>
    </row>
    <row r="75" spans="1:13" x14ac:dyDescent="0.3">
      <c r="A75" s="217" t="s">
        <v>176</v>
      </c>
      <c r="B75" s="222">
        <f>'Cash Flow'!B12</f>
        <v>1065.1399999999999</v>
      </c>
      <c r="C75" s="222">
        <f>'Cash Flow'!C12</f>
        <v>390.06000000000006</v>
      </c>
      <c r="D75" s="222">
        <f>'Cash Flow'!D12</f>
        <v>1171.5400000000002</v>
      </c>
      <c r="E75" s="222">
        <f>'Cash Flow'!E12</f>
        <v>1219.6699999999994</v>
      </c>
      <c r="F75" s="222">
        <f>'Cash Flow'!F12</f>
        <v>546.0500000000003</v>
      </c>
      <c r="G75" s="222">
        <f>'Cash Flow'!G12</f>
        <v>822.02000000000021</v>
      </c>
      <c r="H75" s="222">
        <f>'Cash Flow'!H12</f>
        <v>2501.2199999999998</v>
      </c>
      <c r="I75" s="222">
        <f>'Cash Flow'!I12</f>
        <v>779</v>
      </c>
      <c r="J75" s="222">
        <f>'Cash Flow'!J12</f>
        <v>1713</v>
      </c>
      <c r="K75" s="222">
        <f>'Cash Flow'!K12</f>
        <v>23348</v>
      </c>
      <c r="L75" s="217"/>
      <c r="M75" s="217"/>
    </row>
    <row r="76" spans="1:13" x14ac:dyDescent="0.3">
      <c r="A76" s="217"/>
      <c r="B76" s="222"/>
      <c r="C76" s="222"/>
      <c r="D76" s="222"/>
      <c r="E76" s="222"/>
      <c r="F76" s="222"/>
      <c r="G76" s="222"/>
      <c r="H76" s="222"/>
      <c r="I76" s="222"/>
      <c r="J76" s="222"/>
      <c r="K76" s="222"/>
      <c r="L76" s="217"/>
      <c r="M76" s="217"/>
    </row>
    <row r="77" spans="1:13" x14ac:dyDescent="0.3">
      <c r="A77" s="217"/>
      <c r="B77" s="217"/>
      <c r="C77" s="217"/>
      <c r="D77" s="217"/>
      <c r="E77" s="217"/>
      <c r="F77" s="217"/>
      <c r="G77" s="217"/>
      <c r="H77" s="217"/>
      <c r="I77" s="217"/>
      <c r="J77" s="217"/>
      <c r="K77" s="217"/>
      <c r="L77" s="217"/>
      <c r="M77" s="217"/>
    </row>
    <row r="78" spans="1:13" x14ac:dyDescent="0.3">
      <c r="A78" s="217"/>
      <c r="B78" s="217"/>
      <c r="C78" s="217"/>
      <c r="D78" s="217"/>
      <c r="E78" s="217"/>
      <c r="F78" s="217"/>
      <c r="G78" s="217"/>
      <c r="H78" s="217"/>
      <c r="I78" s="217"/>
      <c r="J78" s="217"/>
      <c r="K78" s="217"/>
      <c r="L78" s="217"/>
      <c r="M78" s="217"/>
    </row>
    <row r="79" spans="1:13" x14ac:dyDescent="0.3">
      <c r="A79" s="217"/>
      <c r="B79" s="217"/>
      <c r="C79" s="217"/>
      <c r="D79" s="217"/>
      <c r="E79" s="217"/>
      <c r="F79" s="217"/>
      <c r="G79" s="217"/>
      <c r="H79" s="217"/>
      <c r="I79" s="217"/>
      <c r="J79" s="217"/>
      <c r="K79" s="217"/>
      <c r="L79" s="217"/>
      <c r="M79" s="217"/>
    </row>
  </sheetData>
  <mergeCells count="1">
    <mergeCell ref="R3:T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DCD7-B3DF-4568-A908-CAEE3C206890}">
  <dimension ref="A1:Q35"/>
  <sheetViews>
    <sheetView workbookViewId="0">
      <selection activeCell="M22" sqref="M22"/>
    </sheetView>
  </sheetViews>
  <sheetFormatPr defaultColWidth="8.77734375" defaultRowHeight="13.2" x14ac:dyDescent="0.25"/>
  <cols>
    <col min="1" max="1" width="21.109375" style="2" bestFit="1" customWidth="1"/>
    <col min="2" max="11" width="6.77734375" style="2" bestFit="1" customWidth="1"/>
    <col min="12" max="16384" width="8.77734375" style="2"/>
  </cols>
  <sheetData>
    <row r="1" spans="1:17" ht="16.2" thickBot="1" x14ac:dyDescent="0.35">
      <c r="A1" s="347" t="s">
        <v>110</v>
      </c>
      <c r="B1" s="348"/>
      <c r="C1" s="348"/>
      <c r="D1" s="348"/>
      <c r="E1" s="348"/>
      <c r="F1" s="348"/>
      <c r="G1" s="348"/>
      <c r="H1" s="348"/>
      <c r="I1" s="348"/>
      <c r="J1" s="348"/>
      <c r="K1" s="349"/>
    </row>
    <row r="2" spans="1:17" x14ac:dyDescent="0.25">
      <c r="A2" s="134" t="s">
        <v>118</v>
      </c>
      <c r="B2" s="62">
        <f>'Cash Flow'!B3</f>
        <v>40268</v>
      </c>
      <c r="C2" s="62">
        <f>'Cash Flow'!C3</f>
        <v>40633</v>
      </c>
      <c r="D2" s="62">
        <f>'Cash Flow'!D3</f>
        <v>40999</v>
      </c>
      <c r="E2" s="62">
        <f>'Cash Flow'!E3</f>
        <v>41364</v>
      </c>
      <c r="F2" s="62">
        <f>'Cash Flow'!F3</f>
        <v>41729</v>
      </c>
      <c r="G2" s="62">
        <f>'Cash Flow'!G3</f>
        <v>42094</v>
      </c>
      <c r="H2" s="62">
        <f>'Cash Flow'!H3</f>
        <v>42460</v>
      </c>
      <c r="I2" s="62">
        <f>'Cash Flow'!I3</f>
        <v>42825</v>
      </c>
      <c r="J2" s="62">
        <f>'Cash Flow'!J3</f>
        <v>43190</v>
      </c>
      <c r="K2" s="62">
        <f>'Cash Flow'!K3</f>
        <v>43555</v>
      </c>
      <c r="M2" s="338" t="s">
        <v>145</v>
      </c>
      <c r="N2" s="350"/>
      <c r="O2" s="350"/>
      <c r="P2" s="350"/>
      <c r="Q2" s="351"/>
    </row>
    <row r="3" spans="1:17" x14ac:dyDescent="0.25">
      <c r="A3" s="136" t="s">
        <v>4</v>
      </c>
      <c r="B3" s="64">
        <v>1</v>
      </c>
      <c r="C3" s="64">
        <v>1</v>
      </c>
      <c r="D3" s="64">
        <v>1</v>
      </c>
      <c r="E3" s="64">
        <v>1</v>
      </c>
      <c r="F3" s="64">
        <v>1</v>
      </c>
      <c r="G3" s="64">
        <v>1</v>
      </c>
      <c r="H3" s="64">
        <v>1</v>
      </c>
      <c r="I3" s="64">
        <v>1</v>
      </c>
      <c r="J3" s="64">
        <v>1</v>
      </c>
      <c r="K3" s="143">
        <v>1</v>
      </c>
      <c r="M3" s="352"/>
      <c r="N3" s="353"/>
      <c r="O3" s="353"/>
      <c r="P3" s="353"/>
      <c r="Q3" s="354"/>
    </row>
    <row r="4" spans="1:17" x14ac:dyDescent="0.25">
      <c r="A4" s="136" t="s">
        <v>63</v>
      </c>
      <c r="B4" s="23">
        <f>'Data Sheet'!B18/'Data Sheet'!B$17</f>
        <v>0.48013625605855531</v>
      </c>
      <c r="C4" s="23">
        <f>'Data Sheet'!C18/'Data Sheet'!C$17</f>
        <v>0.55752445891804436</v>
      </c>
      <c r="D4" s="23">
        <f>'Data Sheet'!D18/'Data Sheet'!D$17</f>
        <v>0.52898327797562872</v>
      </c>
      <c r="E4" s="23">
        <f>'Data Sheet'!E18/'Data Sheet'!E$17</f>
        <v>0.51028881848960872</v>
      </c>
      <c r="F4" s="23">
        <f>'Data Sheet'!F18/'Data Sheet'!F$17</f>
        <v>0.50513978430731754</v>
      </c>
      <c r="G4" s="23">
        <f>'Data Sheet'!G18/'Data Sheet'!G$17</f>
        <v>0.49761383298650508</v>
      </c>
      <c r="H4" s="23">
        <f>'Data Sheet'!H18/'Data Sheet'!H$17</f>
        <v>0.49572892938496582</v>
      </c>
      <c r="I4" s="23">
        <f>'Data Sheet'!I18/'Data Sheet'!I$17</f>
        <v>0.50134870034330559</v>
      </c>
      <c r="J4" s="23">
        <f>'Data Sheet'!J18/'Data Sheet'!J$17</f>
        <v>0.46679709978133271</v>
      </c>
      <c r="K4" s="137">
        <f>'Data Sheet'!K18/'Data Sheet'!K$17</f>
        <v>0.49933598937583001</v>
      </c>
      <c r="M4" s="352"/>
      <c r="N4" s="353"/>
      <c r="O4" s="353"/>
      <c r="P4" s="353"/>
      <c r="Q4" s="354"/>
    </row>
    <row r="5" spans="1:17" x14ac:dyDescent="0.25">
      <c r="A5" s="136" t="s">
        <v>64</v>
      </c>
      <c r="B5" s="23">
        <f>'Data Sheet'!B19/'Data Sheet'!B$17</f>
        <v>-7.8299975047447651E-2</v>
      </c>
      <c r="C5" s="23">
        <f>'Data Sheet'!C19/'Data Sheet'!C$17</f>
        <v>5.382003513474104E-2</v>
      </c>
      <c r="D5" s="23">
        <f>'Data Sheet'!D19/'Data Sheet'!D$17</f>
        <v>0</v>
      </c>
      <c r="E5" s="23">
        <f>'Data Sheet'!E19/'Data Sheet'!E$17</f>
        <v>0</v>
      </c>
      <c r="F5" s="23">
        <f>'Data Sheet'!F19/'Data Sheet'!F$17</f>
        <v>0</v>
      </c>
      <c r="G5" s="23">
        <f>'Data Sheet'!G19/'Data Sheet'!G$17</f>
        <v>0</v>
      </c>
      <c r="H5" s="23">
        <f>'Data Sheet'!H19/'Data Sheet'!H$17</f>
        <v>1.3097949886104784E-2</v>
      </c>
      <c r="I5" s="23">
        <f>'Data Sheet'!I19/'Data Sheet'!I$17</f>
        <v>2.2192251103482098E-2</v>
      </c>
      <c r="J5" s="23">
        <f>'Data Sheet'!J19/'Data Sheet'!J$17</f>
        <v>0</v>
      </c>
      <c r="K5" s="137">
        <f>'Data Sheet'!K19/'Data Sheet'!K$17</f>
        <v>0</v>
      </c>
      <c r="M5" s="352"/>
      <c r="N5" s="353"/>
      <c r="O5" s="353"/>
      <c r="P5" s="353"/>
      <c r="Q5" s="354"/>
    </row>
    <row r="6" spans="1:17" x14ac:dyDescent="0.25">
      <c r="A6" s="136" t="s">
        <v>65</v>
      </c>
      <c r="B6" s="23">
        <f>'Data Sheet'!B20/'Data Sheet'!B$17</f>
        <v>1.5109526582029627E-2</v>
      </c>
      <c r="C6" s="23">
        <f>'Data Sheet'!C20/'Data Sheet'!C$17</f>
        <v>3.840692418256178E-2</v>
      </c>
      <c r="D6" s="23">
        <f>'Data Sheet'!D20/'Data Sheet'!D$17</f>
        <v>3.4352627709442439E-2</v>
      </c>
      <c r="E6" s="23">
        <f>'Data Sheet'!E20/'Data Sheet'!E$17</f>
        <v>3.8085284736057129E-2</v>
      </c>
      <c r="F6" s="23">
        <f>'Data Sheet'!F20/'Data Sheet'!F$17</f>
        <v>4.0263191122730926E-2</v>
      </c>
      <c r="G6" s="23">
        <f>'Data Sheet'!G20/'Data Sheet'!G$17</f>
        <v>3.6027399979488062E-2</v>
      </c>
      <c r="H6" s="23">
        <f>'Data Sheet'!H20/'Data Sheet'!H$17</f>
        <v>2.5555239179954441E-2</v>
      </c>
      <c r="I6" s="23">
        <f>'Data Sheet'!I20/'Data Sheet'!I$17</f>
        <v>2.0782246199117213E-2</v>
      </c>
      <c r="J6" s="23">
        <f>'Data Sheet'!J20/'Data Sheet'!J$17</f>
        <v>1.6745310162274141E-2</v>
      </c>
      <c r="K6" s="137">
        <f>'Data Sheet'!K20/'Data Sheet'!K$17</f>
        <v>1.8409122132161011E-2</v>
      </c>
      <c r="M6" s="352"/>
      <c r="N6" s="353"/>
      <c r="O6" s="353"/>
      <c r="P6" s="353"/>
      <c r="Q6" s="354"/>
    </row>
    <row r="7" spans="1:17" x14ac:dyDescent="0.25">
      <c r="A7" s="136" t="s">
        <v>66</v>
      </c>
      <c r="B7" s="23">
        <f>'Data Sheet'!B21/'Data Sheet'!B$17</f>
        <v>4.4948620426310579E-2</v>
      </c>
      <c r="C7" s="23">
        <f>'Data Sheet'!C21/'Data Sheet'!C$17</f>
        <v>5.0804766104001614E-2</v>
      </c>
      <c r="D7" s="23">
        <f>'Data Sheet'!D21/'Data Sheet'!D$17</f>
        <v>4.2553302430350971E-2</v>
      </c>
      <c r="E7" s="23">
        <f>'Data Sheet'!E21/'Data Sheet'!E$17</f>
        <v>4.8026824302992696E-2</v>
      </c>
      <c r="F7" s="23">
        <f>'Data Sheet'!F21/'Data Sheet'!F$17</f>
        <v>4.2292737455064025E-2</v>
      </c>
      <c r="G7" s="23">
        <f>'Data Sheet'!G21/'Data Sheet'!G$17</f>
        <v>5.7764264895140985E-2</v>
      </c>
      <c r="H7" s="23">
        <f>'Data Sheet'!H21/'Data Sheet'!H$17</f>
        <v>9.4177107061503423E-2</v>
      </c>
      <c r="I7" s="23">
        <f>'Data Sheet'!I21/'Data Sheet'!I$17</f>
        <v>9.5389897008337415E-2</v>
      </c>
      <c r="J7" s="23">
        <f>'Data Sheet'!J21/'Data Sheet'!J$17</f>
        <v>0.10496029462538842</v>
      </c>
      <c r="K7" s="137">
        <f>'Data Sheet'!K21/'Data Sheet'!K$17</f>
        <v>9.6533406603471178E-2</v>
      </c>
      <c r="M7" s="352"/>
      <c r="N7" s="353"/>
      <c r="O7" s="353"/>
      <c r="P7" s="353"/>
      <c r="Q7" s="354"/>
    </row>
    <row r="8" spans="1:17" x14ac:dyDescent="0.25">
      <c r="A8" s="136" t="s">
        <v>67</v>
      </c>
      <c r="B8" s="23">
        <f>'Data Sheet'!B22/'Data Sheet'!B$17</f>
        <v>9.4863176837982316E-2</v>
      </c>
      <c r="C8" s="23">
        <f>'Data Sheet'!C22/'Data Sheet'!C$17</f>
        <v>8.9336675531360876E-2</v>
      </c>
      <c r="D8" s="23">
        <f>'Data Sheet'!D22/'Data Sheet'!D$17</f>
        <v>8.9027703185370968E-2</v>
      </c>
      <c r="E8" s="23">
        <f>'Data Sheet'!E22/'Data Sheet'!E$17</f>
        <v>9.2820362084544444E-2</v>
      </c>
      <c r="F8" s="23">
        <f>'Data Sheet'!F22/'Data Sheet'!F$17</f>
        <v>8.8031804272260025E-2</v>
      </c>
      <c r="G8" s="23">
        <f>'Data Sheet'!G22/'Data Sheet'!G$17</f>
        <v>8.6249392085700191E-2</v>
      </c>
      <c r="H8" s="23">
        <f>'Data Sheet'!H22/'Data Sheet'!H$17</f>
        <v>0.10207858769931663</v>
      </c>
      <c r="I8" s="23">
        <f>'Data Sheet'!I22/'Data Sheet'!I$17</f>
        <v>9.9742520843550758E-2</v>
      </c>
      <c r="J8" s="23">
        <f>'Data Sheet'!J22/'Data Sheet'!J$17</f>
        <v>9.8572908274830243E-2</v>
      </c>
      <c r="K8" s="137">
        <f>'Data Sheet'!K22/'Data Sheet'!K$17</f>
        <v>9.5938086733525663E-2</v>
      </c>
      <c r="M8" s="352"/>
      <c r="N8" s="353"/>
      <c r="O8" s="353"/>
      <c r="P8" s="353"/>
      <c r="Q8" s="354"/>
    </row>
    <row r="9" spans="1:17" x14ac:dyDescent="0.25">
      <c r="A9" s="136" t="s">
        <v>84</v>
      </c>
      <c r="B9" s="23">
        <f>'Data Sheet'!B23/'Data Sheet'!B$17</f>
        <v>0.11232618278878799</v>
      </c>
      <c r="C9" s="23">
        <f>'Data Sheet'!C23/'Data Sheet'!C$17</f>
        <v>0.11310470291701673</v>
      </c>
      <c r="D9" s="23">
        <f>'Data Sheet'!D23/'Data Sheet'!D$17</f>
        <v>0.10497150425220171</v>
      </c>
      <c r="E9" s="23">
        <f>'Data Sheet'!E23/'Data Sheet'!E$17</f>
        <v>9.9704976213026764E-2</v>
      </c>
      <c r="F9" s="23">
        <f>'Data Sheet'!F23/'Data Sheet'!F$17</f>
        <v>0.1205667503490894</v>
      </c>
      <c r="G9" s="23">
        <f>'Data Sheet'!G23/'Data Sheet'!G$17</f>
        <v>0.12153158011400668</v>
      </c>
      <c r="H9" s="23">
        <f>'Data Sheet'!H23/'Data Sheet'!H$17</f>
        <v>8.7414578587699313E-2</v>
      </c>
      <c r="I9" s="23">
        <f>'Data Sheet'!I23/'Data Sheet'!I$17</f>
        <v>8.7420304070622859E-2</v>
      </c>
      <c r="J9" s="23">
        <f>'Data Sheet'!J23/'Data Sheet'!J$17</f>
        <v>8.9653584992519283E-2</v>
      </c>
      <c r="K9" s="137">
        <f>'Data Sheet'!K23/'Data Sheet'!K$17</f>
        <v>8.2520492741676971E-2</v>
      </c>
      <c r="M9" s="352"/>
      <c r="N9" s="353"/>
      <c r="O9" s="353"/>
      <c r="P9" s="353"/>
      <c r="Q9" s="354"/>
    </row>
    <row r="10" spans="1:17" ht="13.8" thickBot="1" x14ac:dyDescent="0.3">
      <c r="A10" s="136" t="s">
        <v>69</v>
      </c>
      <c r="B10" s="23">
        <f>'Data Sheet'!B24/'Data Sheet'!B$17</f>
        <v>1.8372261835449259E-2</v>
      </c>
      <c r="C10" s="23">
        <f>'Data Sheet'!C24/'Data Sheet'!C$17</f>
        <v>2.1894984619871265E-2</v>
      </c>
      <c r="D10" s="23">
        <f>'Data Sheet'!D24/'Data Sheet'!D$17</f>
        <v>2.4061048163810141E-2</v>
      </c>
      <c r="E10" s="23">
        <f>'Data Sheet'!E24/'Data Sheet'!E$17</f>
        <v>3.4800831727576559E-2</v>
      </c>
      <c r="F10" s="23">
        <f>'Data Sheet'!F24/'Data Sheet'!F$17</f>
        <v>2.0282465313883363E-2</v>
      </c>
      <c r="G10" s="23">
        <f>'Data Sheet'!G24/'Data Sheet'!G$17</f>
        <v>1.075139861643668E-2</v>
      </c>
      <c r="H10" s="23">
        <f>'Data Sheet'!H24/'Data Sheet'!H$17</f>
        <v>4.1002277904328019E-2</v>
      </c>
      <c r="I10" s="23">
        <f>'Data Sheet'!I24/'Data Sheet'!I$17</f>
        <v>3.8867091711623343E-2</v>
      </c>
      <c r="J10" s="23">
        <f>'Data Sheet'!J24/'Data Sheet'!J$17</f>
        <v>2.6642881804580503E-2</v>
      </c>
      <c r="K10" s="137">
        <f>'Data Sheet'!K24/'Data Sheet'!K$17</f>
        <v>3.3200531208499334E-2</v>
      </c>
      <c r="M10" s="355"/>
      <c r="N10" s="356"/>
      <c r="O10" s="356"/>
      <c r="P10" s="356"/>
      <c r="Q10" s="357"/>
    </row>
    <row r="11" spans="1:17" x14ac:dyDescent="0.25">
      <c r="A11" s="144" t="s">
        <v>6</v>
      </c>
      <c r="B11" s="65">
        <f>('Data Sheet'!B17-'Data Sheet'!B18-'Data Sheet'!B19-'Data Sheet'!B20-'Data Sheet'!B21-'Data Sheet'!B22-'Data Sheet'!B23-'Data Sheet'!B24)/'Data Sheet'!B$17</f>
        <v>0.31254395051833256</v>
      </c>
      <c r="C11" s="65">
        <f>('Data Sheet'!C17-'Data Sheet'!C18-'Data Sheet'!C19-'Data Sheet'!C20-'Data Sheet'!C21-'Data Sheet'!C22-'Data Sheet'!C23-'Data Sheet'!C24)/'Data Sheet'!C$17</f>
        <v>7.5107452592402396E-2</v>
      </c>
      <c r="D11" s="65">
        <f>('Data Sheet'!D17-'Data Sheet'!D18-'Data Sheet'!D19-'Data Sheet'!D20-'Data Sheet'!D21-'Data Sheet'!D22-'Data Sheet'!D23-'Data Sheet'!D24)/'Data Sheet'!D$17</f>
        <v>0.17605053628319506</v>
      </c>
      <c r="E11" s="65">
        <f>('Data Sheet'!E17-'Data Sheet'!E18-'Data Sheet'!E19-'Data Sheet'!E20-'Data Sheet'!E21-'Data Sheet'!E22-'Data Sheet'!E23-'Data Sheet'!E24)/'Data Sheet'!E$17</f>
        <v>0.17627290244619362</v>
      </c>
      <c r="F11" s="65">
        <f>('Data Sheet'!F17-'Data Sheet'!F18-'Data Sheet'!F19-'Data Sheet'!F20-'Data Sheet'!F21-'Data Sheet'!F22-'Data Sheet'!F23-'Data Sheet'!F24)/'Data Sheet'!F$17</f>
        <v>0.18342326717965471</v>
      </c>
      <c r="G11" s="65">
        <f>('Data Sheet'!G17-'Data Sheet'!G18-'Data Sheet'!G19-'Data Sheet'!G20-'Data Sheet'!G21-'Data Sheet'!G22-'Data Sheet'!G23-'Data Sheet'!G24)/'Data Sheet'!G$17</f>
        <v>0.19006213132272232</v>
      </c>
      <c r="H11" s="65">
        <f>('Data Sheet'!H17-'Data Sheet'!H18-'Data Sheet'!H19-'Data Sheet'!H20-'Data Sheet'!H21-'Data Sheet'!H22-'Data Sheet'!H23-'Data Sheet'!H24)/'Data Sheet'!H$17</f>
        <v>0.14094533029612757</v>
      </c>
      <c r="I11" s="65">
        <f>('Data Sheet'!I17-'Data Sheet'!I18-'Data Sheet'!I19-'Data Sheet'!I20-'Data Sheet'!I21-'Data Sheet'!I22-'Data Sheet'!I23-'Data Sheet'!I24)/'Data Sheet'!I$17</f>
        <v>0.13425698871996075</v>
      </c>
      <c r="J11" s="65">
        <f>('Data Sheet'!J17-'Data Sheet'!J18-'Data Sheet'!J19-'Data Sheet'!J20-'Data Sheet'!J21-'Data Sheet'!J22-'Data Sheet'!J23-'Data Sheet'!J24)/'Data Sheet'!J$17</f>
        <v>0.1966279203590747</v>
      </c>
      <c r="K11" s="145">
        <f>('Data Sheet'!K17-'Data Sheet'!K18-'Data Sheet'!K19-'Data Sheet'!K20-'Data Sheet'!K21-'Data Sheet'!K22-'Data Sheet'!K23-'Data Sheet'!K24)/'Data Sheet'!K$17</f>
        <v>0.17406237120483584</v>
      </c>
    </row>
    <row r="12" spans="1:17" x14ac:dyDescent="0.25">
      <c r="A12" s="136" t="s">
        <v>7</v>
      </c>
      <c r="B12" s="23">
        <f>'Data Sheet'!B25/'Data Sheet'!B$17</f>
        <v>3.4449644993232567E-2</v>
      </c>
      <c r="C12" s="23">
        <f>'Data Sheet'!C25/'Data Sheet'!C$17</f>
        <v>2.3866974037787207E-2</v>
      </c>
      <c r="D12" s="23">
        <f>'Data Sheet'!D25/'Data Sheet'!D$17</f>
        <v>1.1103695322317413E-2</v>
      </c>
      <c r="E12" s="23">
        <f>'Data Sheet'!E25/'Data Sheet'!E$17</f>
        <v>1.1688820666906168E-2</v>
      </c>
      <c r="F12" s="23">
        <f>'Data Sheet'!F25/'Data Sheet'!F$17</f>
        <v>6.7905315071749017E-3</v>
      </c>
      <c r="G12" s="23">
        <f>'Data Sheet'!G25/'Data Sheet'!G$17</f>
        <v>4.4646549528059992E-3</v>
      </c>
      <c r="H12" s="23">
        <f>'Data Sheet'!H25/'Data Sheet'!H$17</f>
        <v>1.0606492027334852E-2</v>
      </c>
      <c r="I12" s="23">
        <f>'Data Sheet'!I25/'Data Sheet'!I$17</f>
        <v>2.5441392839627267E-2</v>
      </c>
      <c r="J12" s="23">
        <f>'Data Sheet'!J25/'Data Sheet'!J$17</f>
        <v>1.9910231326965129E-2</v>
      </c>
      <c r="K12" s="137">
        <f>'Data Sheet'!K25/'Data Sheet'!K$17</f>
        <v>-8.4718596876860383E-3</v>
      </c>
    </row>
    <row r="13" spans="1:17" x14ac:dyDescent="0.25">
      <c r="A13" s="136" t="s">
        <v>8</v>
      </c>
      <c r="B13" s="23">
        <f>'Data Sheet'!B26/'Data Sheet'!B$17</f>
        <v>4.0585704455920933E-2</v>
      </c>
      <c r="C13" s="23">
        <f>'Data Sheet'!C26/'Data Sheet'!C$17</f>
        <v>3.7113674080143315E-2</v>
      </c>
      <c r="D13" s="23">
        <f>'Data Sheet'!D26/'Data Sheet'!D$17</f>
        <v>3.8113388569372679E-2</v>
      </c>
      <c r="E13" s="23">
        <f>'Data Sheet'!E26/'Data Sheet'!E$17</f>
        <v>3.8507680416299248E-2</v>
      </c>
      <c r="F13" s="23">
        <f>'Data Sheet'!F26/'Data Sheet'!F$17</f>
        <v>3.7781499747467251E-2</v>
      </c>
      <c r="G13" s="23">
        <f>'Data Sheet'!G26/'Data Sheet'!G$17</f>
        <v>3.5111806605505801E-2</v>
      </c>
      <c r="H13" s="23">
        <f>'Data Sheet'!H26/'Data Sheet'!H$17</f>
        <v>4.8120728929384966E-2</v>
      </c>
      <c r="I13" s="23">
        <f>'Data Sheet'!I26/'Data Sheet'!I$17</f>
        <v>4.1196665031878368E-2</v>
      </c>
      <c r="J13" s="23">
        <f>'Data Sheet'!J26/'Data Sheet'!J$17</f>
        <v>3.8842214293934862E-2</v>
      </c>
      <c r="K13" s="137">
        <f>'Data Sheet'!K26/'Data Sheet'!K$17</f>
        <v>4.4374227229014976E-2</v>
      </c>
    </row>
    <row r="14" spans="1:17" x14ac:dyDescent="0.25">
      <c r="A14" s="136" t="s">
        <v>9</v>
      </c>
      <c r="B14" s="23">
        <f>'Data Sheet'!B27/'Data Sheet'!B$17</f>
        <v>3.6632993323301902E-2</v>
      </c>
      <c r="C14" s="23">
        <f>'Data Sheet'!C27/'Data Sheet'!C$17</f>
        <v>5.4160272745578643E-2</v>
      </c>
      <c r="D14" s="23">
        <f>'Data Sheet'!D27/'Data Sheet'!D$17</f>
        <v>5.4050671853083952E-2</v>
      </c>
      <c r="E14" s="23">
        <f>'Data Sheet'!E27/'Data Sheet'!E$17</f>
        <v>4.6698672937282942E-2</v>
      </c>
      <c r="F14" s="23">
        <f>'Data Sheet'!F27/'Data Sheet'!F$17</f>
        <v>4.5055742891945694E-2</v>
      </c>
      <c r="G14" s="23">
        <f>'Data Sheet'!G27/'Data Sheet'!G$17</f>
        <v>4.2764082934398186E-2</v>
      </c>
      <c r="H14" s="23">
        <f>'Data Sheet'!H27/'Data Sheet'!H$17</f>
        <v>5.011389521640091E-2</v>
      </c>
      <c r="I14" s="23">
        <f>'Data Sheet'!I27/'Data Sheet'!I$17</f>
        <v>4.5058852378616968E-2</v>
      </c>
      <c r="J14" s="23">
        <f>'Data Sheet'!J27/'Data Sheet'!J$17</f>
        <v>4.5056968580964439E-2</v>
      </c>
      <c r="K14" s="137">
        <f>'Data Sheet'!K27/'Data Sheet'!K$17</f>
        <v>4.4099464212117051E-2</v>
      </c>
    </row>
    <row r="15" spans="1:17" x14ac:dyDescent="0.25">
      <c r="A15" s="144" t="s">
        <v>114</v>
      </c>
      <c r="B15" s="65">
        <f>'Data Sheet'!B28/'Data Sheet'!B$17</f>
        <v>0.11317494763744698</v>
      </c>
      <c r="C15" s="65">
        <f>'Data Sheet'!C28/'Data Sheet'!C$17</f>
        <v>0.11534055007394961</v>
      </c>
      <c r="D15" s="65">
        <f>'Data Sheet'!D28/'Data Sheet'!D$17</f>
        <v>9.499017118305586E-2</v>
      </c>
      <c r="E15" s="65">
        <f>'Data Sheet'!E28/'Data Sheet'!E$17</f>
        <v>0.1027553697595175</v>
      </c>
      <c r="F15" s="65">
        <f>'Data Sheet'!F28/'Data Sheet'!F$17</f>
        <v>0.10737655604741675</v>
      </c>
      <c r="G15" s="65">
        <f>'Data Sheet'!G28/'Data Sheet'!G$17</f>
        <v>0.11665089673562426</v>
      </c>
      <c r="H15" s="65">
        <f>'Data Sheet'!H28/'Data Sheet'!H$17</f>
        <v>7.9513097949886105E-2</v>
      </c>
      <c r="I15" s="65">
        <f>'Data Sheet'!I28/'Data Sheet'!I$17</f>
        <v>0.1178273663560569</v>
      </c>
      <c r="J15" s="65">
        <f>'Data Sheet'!J28/'Data Sheet'!J$17</f>
        <v>0.13263896881114051</v>
      </c>
      <c r="K15" s="145">
        <f>'Data Sheet'!K28/'Data Sheet'!K$17</f>
        <v>7.7116820076017764E-2</v>
      </c>
    </row>
    <row r="16" spans="1:17" x14ac:dyDescent="0.25">
      <c r="A16" s="136" t="s">
        <v>11</v>
      </c>
      <c r="B16" s="23">
        <f>'Data Sheet'!B29/'Data Sheet'!B$17</f>
        <v>1.6135983848893393E-2</v>
      </c>
      <c r="C16" s="23">
        <f>'Data Sheet'!C29/'Data Sheet'!C$17</f>
        <v>1.2686002346945151E-2</v>
      </c>
      <c r="D16" s="23">
        <f>'Data Sheet'!D29/'Data Sheet'!D$17</f>
        <v>1.6686828342449538E-2</v>
      </c>
      <c r="E16" s="23">
        <f>'Data Sheet'!E29/'Data Sheet'!E$17</f>
        <v>2.2118074833708912E-2</v>
      </c>
      <c r="F16" s="23">
        <f>'Data Sheet'!F29/'Data Sheet'!F$17</f>
        <v>2.0582347960426631E-2</v>
      </c>
      <c r="G16" s="23">
        <f>'Data Sheet'!G29/'Data Sheet'!G$17</f>
        <v>2.0181927659025416E-2</v>
      </c>
      <c r="H16" s="23">
        <f>'Data Sheet'!H29/'Data Sheet'!H$17</f>
        <v>1.1745444191343964E-2</v>
      </c>
      <c r="I16" s="23">
        <f>'Data Sheet'!I29/'Data Sheet'!I$17</f>
        <v>1.1586562040215792E-2</v>
      </c>
      <c r="J16" s="23">
        <f>'Data Sheet'!J29/'Data Sheet'!J$17</f>
        <v>1.5824605823454942E-2</v>
      </c>
      <c r="K16" s="137">
        <f>'Data Sheet'!K29/'Data Sheet'!K$17</f>
        <v>7.5559829646929524E-3</v>
      </c>
    </row>
    <row r="17" spans="1:11" x14ac:dyDescent="0.25">
      <c r="A17" s="144" t="s">
        <v>115</v>
      </c>
      <c r="B17" s="65">
        <f>'Data Sheet'!B30/'Data Sheet'!B$17</f>
        <v>9.9462385917686816E-2</v>
      </c>
      <c r="C17" s="65">
        <f>'Data Sheet'!C30/'Data Sheet'!C$17</f>
        <v>9.6797600283299881E-2</v>
      </c>
      <c r="D17" s="65">
        <f>'Data Sheet'!D30/'Data Sheet'!D$17</f>
        <v>7.2419088240354978E-2</v>
      </c>
      <c r="E17" s="65">
        <f>'Data Sheet'!E30/'Data Sheet'!E$17</f>
        <v>8.4326725235964586E-2</v>
      </c>
      <c r="F17" s="65">
        <f>'Data Sheet'!F30/'Data Sheet'!F$17</f>
        <v>8.8181281380908527E-2</v>
      </c>
      <c r="G17" s="65">
        <f>'Data Sheet'!G30/'Data Sheet'!G$17</f>
        <v>9.462206753721096E-2</v>
      </c>
      <c r="H17" s="65">
        <f>'Data Sheet'!H30/'Data Sheet'!H$17</f>
        <v>6.691343963553531E-2</v>
      </c>
      <c r="I17" s="65">
        <f>'Data Sheet'!I30/'Data Sheet'!I$17</f>
        <v>0.10587297694948504</v>
      </c>
      <c r="J17" s="65">
        <f>'Data Sheet'!J30/'Data Sheet'!J$17</f>
        <v>0.11635401081827598</v>
      </c>
      <c r="K17" s="145">
        <f>'Data Sheet'!K30/'Data Sheet'!K$17</f>
        <v>6.6263680908549713E-2</v>
      </c>
    </row>
    <row r="18" spans="1:11" ht="13.8" thickBot="1" x14ac:dyDescent="0.3">
      <c r="A18" s="146" t="s">
        <v>53</v>
      </c>
      <c r="B18" s="147">
        <f>'Data Sheet'!B31/'Data Sheet'!B$17</f>
        <v>1.6618021791895712E-2</v>
      </c>
      <c r="C18" s="147">
        <f>'Data Sheet'!C31/'Data Sheet'!C$17</f>
        <v>1.6032829457633471E-2</v>
      </c>
      <c r="D18" s="147">
        <f>'Data Sheet'!D31/'Data Sheet'!D$17</f>
        <v>1.5049561222840398E-2</v>
      </c>
      <c r="E18" s="147">
        <f>'Data Sheet'!E31/'Data Sheet'!E$17</f>
        <v>1.2045897427523215E-2</v>
      </c>
      <c r="F18" s="147">
        <f>'Data Sheet'!F31/'Data Sheet'!F$17</f>
        <v>1.5916990997950031E-2</v>
      </c>
      <c r="G18" s="147">
        <f>'Data Sheet'!G31/'Data Sheet'!G$17</f>
        <v>1.7724630536982693E-2</v>
      </c>
      <c r="H18" s="147">
        <f>'Data Sheet'!H31/'Data Sheet'!H$17</f>
        <v>1.5304669703872438E-2</v>
      </c>
      <c r="I18" s="147">
        <f>'Data Sheet'!I31/'Data Sheet'!I$17</f>
        <v>2.1671162334477686E-2</v>
      </c>
      <c r="J18" s="147">
        <f>'Data Sheet'!J31/'Data Sheet'!J$17</f>
        <v>2.3477960639889515E-2</v>
      </c>
      <c r="K18" s="148">
        <f>'Data Sheet'!K31/'Data Sheet'!K$17</f>
        <v>1.8683885149058936E-2</v>
      </c>
    </row>
    <row r="19" spans="1:11" ht="13.8" thickBot="1" x14ac:dyDescent="0.3"/>
    <row r="20" spans="1:11" ht="15.6" x14ac:dyDescent="0.3">
      <c r="A20" s="347" t="s">
        <v>111</v>
      </c>
      <c r="B20" s="348"/>
      <c r="C20" s="348"/>
      <c r="D20" s="348"/>
      <c r="E20" s="348"/>
      <c r="F20" s="348"/>
      <c r="G20" s="348"/>
      <c r="H20" s="348"/>
      <c r="I20" s="348"/>
      <c r="J20" s="348"/>
      <c r="K20" s="349"/>
    </row>
    <row r="21" spans="1:11" x14ac:dyDescent="0.25">
      <c r="A21" s="134" t="s">
        <v>118</v>
      </c>
      <c r="B21" s="62">
        <f>B2</f>
        <v>40268</v>
      </c>
      <c r="C21" s="62">
        <f t="shared" ref="C21:K21" si="0">C2</f>
        <v>40633</v>
      </c>
      <c r="D21" s="62">
        <f t="shared" si="0"/>
        <v>40999</v>
      </c>
      <c r="E21" s="62">
        <f t="shared" si="0"/>
        <v>41364</v>
      </c>
      <c r="F21" s="62">
        <f t="shared" si="0"/>
        <v>41729</v>
      </c>
      <c r="G21" s="62">
        <f t="shared" si="0"/>
        <v>42094</v>
      </c>
      <c r="H21" s="62">
        <f t="shared" si="0"/>
        <v>42460</v>
      </c>
      <c r="I21" s="62">
        <f t="shared" si="0"/>
        <v>42825</v>
      </c>
      <c r="J21" s="62">
        <f t="shared" si="0"/>
        <v>43190</v>
      </c>
      <c r="K21" s="62">
        <f t="shared" si="0"/>
        <v>43555</v>
      </c>
    </row>
    <row r="22" spans="1:11" x14ac:dyDescent="0.25">
      <c r="A22" s="136" t="s">
        <v>18</v>
      </c>
      <c r="B22" s="23">
        <f>'Data Sheet'!B57/'Data Sheet'!B$61</f>
        <v>1.2593491381101024E-2</v>
      </c>
      <c r="C22" s="23">
        <f>'Data Sheet'!C57/'Data Sheet'!C$61</f>
        <v>1.1134565979777912E-2</v>
      </c>
      <c r="D22" s="23">
        <f>'Data Sheet'!D57/'Data Sheet'!D$61</f>
        <v>8.8859982989990278E-3</v>
      </c>
      <c r="E22" s="23">
        <f>'Data Sheet'!E57/'Data Sheet'!E$61</f>
        <v>7.1082930621068239E-3</v>
      </c>
      <c r="F22" s="23">
        <f>'Data Sheet'!F57/'Data Sheet'!F$61</f>
        <v>6.6664333570531434E-3</v>
      </c>
      <c r="G22" s="23">
        <f>'Data Sheet'!G57/'Data Sheet'!G$61</f>
        <v>5.9289262017453393E-3</v>
      </c>
      <c r="H22" s="23">
        <f>'Data Sheet'!H57/'Data Sheet'!H$61</f>
        <v>5.0623969861078406E-3</v>
      </c>
      <c r="I22" s="23">
        <f>'Data Sheet'!I57/'Data Sheet'!I$61</f>
        <v>4.955595898140425E-3</v>
      </c>
      <c r="J22" s="23">
        <f>'Data Sheet'!J57/'Data Sheet'!J$61</f>
        <v>4.4265069652389012E-3</v>
      </c>
      <c r="K22" s="137">
        <f>'Data Sheet'!K57/'Data Sheet'!K$61</f>
        <v>1.6178149980966882E-3</v>
      </c>
    </row>
    <row r="23" spans="1:11" x14ac:dyDescent="0.25">
      <c r="A23" s="136" t="s">
        <v>19</v>
      </c>
      <c r="B23" s="23">
        <f>'Data Sheet'!B58/'Data Sheet'!B$61</f>
        <v>0.41599635560890985</v>
      </c>
      <c r="C23" s="23">
        <f>'Data Sheet'!C58/'Data Sheet'!C$61</f>
        <v>0.43806367534711133</v>
      </c>
      <c r="D23" s="23">
        <f>'Data Sheet'!D58/'Data Sheet'!D$61</f>
        <v>0.39261084407362795</v>
      </c>
      <c r="E23" s="23">
        <f>'Data Sheet'!E58/'Data Sheet'!E$61</f>
        <v>0.36591006547788252</v>
      </c>
      <c r="F23" s="23">
        <f>'Data Sheet'!F58/'Data Sheet'!F$61</f>
        <v>0.40142474403991146</v>
      </c>
      <c r="G23" s="23">
        <f>'Data Sheet'!G58/'Data Sheet'!G$61</f>
        <v>0.39940779904177148</v>
      </c>
      <c r="H23" s="23">
        <f>'Data Sheet'!H58/'Data Sheet'!H$61</f>
        <v>0.11808335295502707</v>
      </c>
      <c r="I23" s="23">
        <f>'Data Sheet'!I58/'Data Sheet'!I$61</f>
        <v>0.35395711692262399</v>
      </c>
      <c r="J23" s="23">
        <f>'Data Sheet'!J58/'Data Sheet'!J$61</f>
        <v>0.39348175150805015</v>
      </c>
      <c r="K23" s="137">
        <f>'Data Sheet'!K58/'Data Sheet'!K$61</f>
        <v>0.23066552467960919</v>
      </c>
    </row>
    <row r="24" spans="1:11" x14ac:dyDescent="0.25">
      <c r="A24" s="136" t="s">
        <v>54</v>
      </c>
      <c r="B24" s="23">
        <f>'Data Sheet'!B59/'Data Sheet'!B$61</f>
        <v>0.34657528948126165</v>
      </c>
      <c r="C24" s="23">
        <f>'Data Sheet'!C59/'Data Sheet'!C$61</f>
        <v>0.32293014132797426</v>
      </c>
      <c r="D24" s="23">
        <f>'Data Sheet'!D59/'Data Sheet'!D$61</f>
        <v>0.32606783992118443</v>
      </c>
      <c r="E24" s="23">
        <f>'Data Sheet'!E59/'Data Sheet'!E$61</f>
        <v>0.33753310431331734</v>
      </c>
      <c r="F24" s="23">
        <f>'Data Sheet'!F59/'Data Sheet'!F$61</f>
        <v>0.26048940579929925</v>
      </c>
      <c r="G24" s="23">
        <f>'Data Sheet'!G59/'Data Sheet'!G$61</f>
        <v>0.22690592636705256</v>
      </c>
      <c r="H24" s="23">
        <f>'Data Sheet'!H59/'Data Sheet'!H$61</f>
        <v>0.30951259712738405</v>
      </c>
      <c r="I24" s="23">
        <f>'Data Sheet'!I59/'Data Sheet'!I$61</f>
        <v>0.31210441097100239</v>
      </c>
      <c r="J24" s="23">
        <f>'Data Sheet'!J59/'Data Sheet'!J$61</f>
        <v>0.28807012975741009</v>
      </c>
      <c r="K24" s="137">
        <f>'Data Sheet'!K59/'Data Sheet'!K$61</f>
        <v>0.46218753965232839</v>
      </c>
    </row>
    <row r="25" spans="1:11" x14ac:dyDescent="0.25">
      <c r="A25" s="136" t="s">
        <v>55</v>
      </c>
      <c r="B25" s="23">
        <f>'Data Sheet'!B60/'Data Sheet'!B$61</f>
        <v>0.2248348635287275</v>
      </c>
      <c r="C25" s="23">
        <f>'Data Sheet'!C60/'Data Sheet'!C$61</f>
        <v>0.22787161734513661</v>
      </c>
      <c r="D25" s="23">
        <f>'Data Sheet'!D60/'Data Sheet'!D$61</f>
        <v>0.27243531770618867</v>
      </c>
      <c r="E25" s="23">
        <f>'Data Sheet'!E60/'Data Sheet'!E$61</f>
        <v>0.28944853714669327</v>
      </c>
      <c r="F25" s="23">
        <f>'Data Sheet'!F60/'Data Sheet'!F$61</f>
        <v>0.33141941680373604</v>
      </c>
      <c r="G25" s="23">
        <f>'Data Sheet'!G60/'Data Sheet'!G$61</f>
        <v>0.36775734838943058</v>
      </c>
      <c r="H25" s="23">
        <f>'Data Sheet'!H60/'Data Sheet'!H$61</f>
        <v>0.56734165293148109</v>
      </c>
      <c r="I25" s="23">
        <f>'Data Sheet'!I60/'Data Sheet'!I$61</f>
        <v>0.32898287620823313</v>
      </c>
      <c r="J25" s="23">
        <f>'Data Sheet'!J60/'Data Sheet'!J$61</f>
        <v>0.31402161176930088</v>
      </c>
      <c r="K25" s="137">
        <f>'Data Sheet'!K60/'Data Sheet'!K$61</f>
        <v>0.30552912066996574</v>
      </c>
    </row>
    <row r="26" spans="1:11" x14ac:dyDescent="0.25">
      <c r="A26" s="138" t="s">
        <v>112</v>
      </c>
      <c r="B26" s="63">
        <v>1</v>
      </c>
      <c r="C26" s="63">
        <v>1</v>
      </c>
      <c r="D26" s="63">
        <v>1</v>
      </c>
      <c r="E26" s="63">
        <v>1</v>
      </c>
      <c r="F26" s="63">
        <v>1</v>
      </c>
      <c r="G26" s="63">
        <v>1</v>
      </c>
      <c r="H26" s="63">
        <v>1</v>
      </c>
      <c r="I26" s="63">
        <v>1</v>
      </c>
      <c r="J26" s="63">
        <v>1</v>
      </c>
      <c r="K26" s="139">
        <v>1</v>
      </c>
    </row>
    <row r="27" spans="1:11" x14ac:dyDescent="0.25">
      <c r="A27" s="136" t="s">
        <v>21</v>
      </c>
      <c r="B27" s="23">
        <f>'Data Sheet'!B62/'Data Sheet'!B$66</f>
        <v>0.25388541656221036</v>
      </c>
      <c r="C27" s="23">
        <f>'Data Sheet'!C62/'Data Sheet'!C$66</f>
        <v>0.27979273986755704</v>
      </c>
      <c r="D27" s="23">
        <f>'Data Sheet'!D62/'Data Sheet'!D$66</f>
        <v>0.31008054739904639</v>
      </c>
      <c r="E27" s="23">
        <f>'Data Sheet'!E62/'Data Sheet'!E$66</f>
        <v>0.28018896560363477</v>
      </c>
      <c r="F27" s="23">
        <f>'Data Sheet'!F62/'Data Sheet'!F$66</f>
        <v>0.29715323386566805</v>
      </c>
      <c r="G27" s="23">
        <f>'Data Sheet'!G62/'Data Sheet'!G$66</f>
        <v>0.27879509722346146</v>
      </c>
      <c r="H27" s="23">
        <f>'Data Sheet'!H62/'Data Sheet'!H$66</f>
        <v>0.22733694372498234</v>
      </c>
      <c r="I27" s="23">
        <f>'Data Sheet'!I62/'Data Sheet'!I$66</f>
        <v>0.19974486040920464</v>
      </c>
      <c r="J27" s="23">
        <f>'Data Sheet'!J62/'Data Sheet'!J$66</f>
        <v>0.19255305298789221</v>
      </c>
      <c r="K27" s="137">
        <f>'Data Sheet'!K62/'Data Sheet'!K$66</f>
        <v>0.50597957112041614</v>
      </c>
    </row>
    <row r="28" spans="1:11" x14ac:dyDescent="0.25">
      <c r="A28" s="136" t="s">
        <v>22</v>
      </c>
      <c r="B28" s="23">
        <f>'Data Sheet'!B63/'Data Sheet'!B$66</f>
        <v>5.8089645717625581E-3</v>
      </c>
      <c r="C28" s="23">
        <f>'Data Sheet'!C63/'Data Sheet'!C$66</f>
        <v>6.8427670529687557E-3</v>
      </c>
      <c r="D28" s="23">
        <f>'Data Sheet'!D63/'Data Sheet'!D$66</f>
        <v>2.9406727805208449E-2</v>
      </c>
      <c r="E28" s="23">
        <f>'Data Sheet'!E63/'Data Sheet'!E$66</f>
        <v>3.0323470697161983E-2</v>
      </c>
      <c r="F28" s="23">
        <f>'Data Sheet'!F63/'Data Sheet'!F$66</f>
        <v>1.7713643557349446E-2</v>
      </c>
      <c r="G28" s="23">
        <f>'Data Sheet'!G63/'Data Sheet'!G$66</f>
        <v>4.0330808075568221E-2</v>
      </c>
      <c r="H28" s="23">
        <f>'Data Sheet'!H63/'Data Sheet'!H$66</f>
        <v>2.8490699317165059E-2</v>
      </c>
      <c r="I28" s="23">
        <f>'Data Sheet'!I63/'Data Sheet'!I$66</f>
        <v>3.8859722290368479E-2</v>
      </c>
      <c r="J28" s="23">
        <f>'Data Sheet'!J63/'Data Sheet'!J$66</f>
        <v>5.7240810658334418E-2</v>
      </c>
      <c r="K28" s="137">
        <f>'Data Sheet'!K63/'Data Sheet'!K$66</f>
        <v>2.8280040603984265E-2</v>
      </c>
    </row>
    <row r="29" spans="1:11" x14ac:dyDescent="0.25">
      <c r="A29" s="136" t="s">
        <v>23</v>
      </c>
      <c r="B29" s="23">
        <f>'Data Sheet'!B64/'Data Sheet'!B$66</f>
        <v>0.10904235888370466</v>
      </c>
      <c r="C29" s="23">
        <f>'Data Sheet'!C64/'Data Sheet'!C$66</f>
        <v>9.9239411251987666E-2</v>
      </c>
      <c r="D29" s="23">
        <f>'Data Sheet'!D64/'Data Sheet'!D$66</f>
        <v>7.6441136514949187E-2</v>
      </c>
      <c r="E29" s="23">
        <f>'Data Sheet'!E64/'Data Sheet'!E$66</f>
        <v>8.2321132316073325E-2</v>
      </c>
      <c r="F29" s="23">
        <f>'Data Sheet'!F64/'Data Sheet'!F$66</f>
        <v>5.7338170619320367E-2</v>
      </c>
      <c r="G29" s="23">
        <f>'Data Sheet'!G64/'Data Sheet'!G$66</f>
        <v>5.2817381188040059E-2</v>
      </c>
      <c r="H29" s="23">
        <f>'Data Sheet'!H64/'Data Sheet'!H$66</f>
        <v>1.9719802213327055E-2</v>
      </c>
      <c r="I29" s="23">
        <f>'Data Sheet'!I64/'Data Sheet'!I$66</f>
        <v>1.8546685638584956E-2</v>
      </c>
      <c r="J29" s="23">
        <f>'Data Sheet'!J64/'Data Sheet'!J$66</f>
        <v>4.4872629431931606E-2</v>
      </c>
      <c r="K29" s="137">
        <f>'Data Sheet'!K64/'Data Sheet'!K$66</f>
        <v>1.1229539398553484E-2</v>
      </c>
    </row>
    <row r="30" spans="1:11" x14ac:dyDescent="0.25">
      <c r="A30" s="136" t="s">
        <v>56</v>
      </c>
      <c r="B30" s="23">
        <f>'Data Sheet'!B65/'Data Sheet'!B$66</f>
        <v>0.63126325998232247</v>
      </c>
      <c r="C30" s="23">
        <f>'Data Sheet'!C65/'Data Sheet'!C$66</f>
        <v>0.6141250818274866</v>
      </c>
      <c r="D30" s="23">
        <f>'Data Sheet'!D65/'Data Sheet'!D$66</f>
        <v>0.58407158828079608</v>
      </c>
      <c r="E30" s="23">
        <f>'Data Sheet'!E65/'Data Sheet'!E$66</f>
        <v>0.60716643138312998</v>
      </c>
      <c r="F30" s="23">
        <f>'Data Sheet'!F65/'Data Sheet'!F$66</f>
        <v>0.62779495195766211</v>
      </c>
      <c r="G30" s="23">
        <f>'Data Sheet'!G65/'Data Sheet'!G$66</f>
        <v>0.62805671351293024</v>
      </c>
      <c r="H30" s="23">
        <f>'Data Sheet'!H65/'Data Sheet'!H$66</f>
        <v>0.72445255474452552</v>
      </c>
      <c r="I30" s="23">
        <f>'Data Sheet'!I65/'Data Sheet'!I$66</f>
        <v>0.74284873166184195</v>
      </c>
      <c r="J30" s="23">
        <f>'Data Sheet'!J65/'Data Sheet'!J$66</f>
        <v>0.70533350692184182</v>
      </c>
      <c r="K30" s="137">
        <f>'Data Sheet'!K65/'Data Sheet'!K$66</f>
        <v>0.45451084887704607</v>
      </c>
    </row>
    <row r="31" spans="1:11" x14ac:dyDescent="0.25">
      <c r="A31" s="138" t="s">
        <v>113</v>
      </c>
      <c r="B31" s="63">
        <v>1</v>
      </c>
      <c r="C31" s="63">
        <v>1</v>
      </c>
      <c r="D31" s="63">
        <v>1</v>
      </c>
      <c r="E31" s="63">
        <v>1</v>
      </c>
      <c r="F31" s="63">
        <v>1</v>
      </c>
      <c r="G31" s="63">
        <v>1</v>
      </c>
      <c r="H31" s="63">
        <v>1</v>
      </c>
      <c r="I31" s="63">
        <v>1</v>
      </c>
      <c r="J31" s="63">
        <v>1</v>
      </c>
      <c r="K31" s="139">
        <v>1</v>
      </c>
    </row>
    <row r="32" spans="1:11" x14ac:dyDescent="0.25">
      <c r="A32" s="136" t="s">
        <v>61</v>
      </c>
      <c r="B32" s="23">
        <f>'Data Sheet'!B67/'Data Sheet'!B$66</f>
        <v>0.17383630896528804</v>
      </c>
      <c r="C32" s="23">
        <f>'Data Sheet'!C67/'Data Sheet'!C$66</f>
        <v>0.17836041225380928</v>
      </c>
      <c r="D32" s="23">
        <f>'Data Sheet'!D67/'Data Sheet'!D$66</f>
        <v>0.23526729190639109</v>
      </c>
      <c r="E32" s="23">
        <f>'Data Sheet'!E67/'Data Sheet'!E$66</f>
        <v>0.21560885436992996</v>
      </c>
      <c r="F32" s="23">
        <f>'Data Sheet'!F67/'Data Sheet'!F$66</f>
        <v>0.24952152086760068</v>
      </c>
      <c r="G32" s="23">
        <f>'Data Sheet'!G67/'Data Sheet'!G$66</f>
        <v>0.26235014279360874</v>
      </c>
      <c r="H32" s="23">
        <f>'Data Sheet'!H67/'Data Sheet'!H$66</f>
        <v>0.30021191429244171</v>
      </c>
      <c r="I32" s="23">
        <f>'Data Sheet'!I67/'Data Sheet'!I$66</f>
        <v>0.27751337029586381</v>
      </c>
      <c r="J32" s="23">
        <f>'Data Sheet'!J67/'Data Sheet'!J$66</f>
        <v>0.26281300177928218</v>
      </c>
      <c r="K32" s="137">
        <f>'Data Sheet'!K67/'Data Sheet'!K$66</f>
        <v>0.18734932115213807</v>
      </c>
    </row>
    <row r="33" spans="1:11" x14ac:dyDescent="0.25">
      <c r="A33" s="136" t="s">
        <v>39</v>
      </c>
      <c r="B33" s="23">
        <f>'Data Sheet'!B68/'Data Sheet'!B$66</f>
        <v>0.14445340580094232</v>
      </c>
      <c r="C33" s="23">
        <f>'Data Sheet'!C68/'Data Sheet'!C$66</f>
        <v>0.16944649055020622</v>
      </c>
      <c r="D33" s="23">
        <f>'Data Sheet'!D68/'Data Sheet'!D$66</f>
        <v>0.18066977875442086</v>
      </c>
      <c r="E33" s="23">
        <f>'Data Sheet'!E68/'Data Sheet'!E$66</f>
        <v>0.16611981312223661</v>
      </c>
      <c r="F33" s="23">
        <f>'Data Sheet'!F68/'Data Sheet'!F$66</f>
        <v>0.19287472440301903</v>
      </c>
      <c r="G33" s="23">
        <f>'Data Sheet'!G68/'Data Sheet'!G$66</f>
        <v>0.20318261327866435</v>
      </c>
      <c r="H33" s="23">
        <f>'Data Sheet'!H68/'Data Sheet'!H$66</f>
        <v>0.22292206263244643</v>
      </c>
      <c r="I33" s="23">
        <f>'Data Sheet'!I68/'Data Sheet'!I$66</f>
        <v>0.20391541141259015</v>
      </c>
      <c r="J33" s="23">
        <f>'Data Sheet'!J68/'Data Sheet'!J$66</f>
        <v>0.19693616282602092</v>
      </c>
      <c r="K33" s="137">
        <f>'Data Sheet'!K68/'Data Sheet'!K$66</f>
        <v>0.14703083365055197</v>
      </c>
    </row>
    <row r="34" spans="1:11" x14ac:dyDescent="0.25">
      <c r="A34" s="136" t="s">
        <v>70</v>
      </c>
      <c r="B34" s="23">
        <f>'Data Sheet'!B69/'Data Sheet'!B$66</f>
        <v>0.22602244222909523</v>
      </c>
      <c r="C34" s="23">
        <f>'Data Sheet'!C69/'Data Sheet'!C$66</f>
        <v>0.18877405245880294</v>
      </c>
      <c r="D34" s="23">
        <f>'Data Sheet'!D69/'Data Sheet'!D$66</f>
        <v>6.7364641500575334E-2</v>
      </c>
      <c r="E34" s="23">
        <f>'Data Sheet'!E69/'Data Sheet'!E$66</f>
        <v>0.12432526623978364</v>
      </c>
      <c r="F34" s="23">
        <f>'Data Sheet'!F69/'Data Sheet'!F$66</f>
        <v>7.9541468839556859E-2</v>
      </c>
      <c r="G34" s="23">
        <f>'Data Sheet'!G69/'Data Sheet'!G$66</f>
        <v>6.9844714976486949E-2</v>
      </c>
      <c r="H34" s="23">
        <f>'Data Sheet'!H69/'Data Sheet'!H$66</f>
        <v>6.9990581587002595E-2</v>
      </c>
      <c r="I34" s="23">
        <f>'Data Sheet'!I69/'Data Sheet'!I$66</f>
        <v>0.14204406064471811</v>
      </c>
      <c r="J34" s="23">
        <f>'Data Sheet'!J69/'Data Sheet'!J$66</f>
        <v>0.12559128585687626</v>
      </c>
      <c r="K34" s="137">
        <f>'Data Sheet'!K69/'Data Sheet'!K$66</f>
        <v>4.5219515289937826E-2</v>
      </c>
    </row>
    <row r="35" spans="1:11" ht="13.8" thickBot="1" x14ac:dyDescent="0.3">
      <c r="A35" s="140"/>
      <c r="B35" s="141"/>
      <c r="C35" s="141"/>
      <c r="D35" s="141"/>
      <c r="E35" s="141"/>
      <c r="F35" s="141"/>
      <c r="G35" s="141"/>
      <c r="H35" s="141"/>
      <c r="I35" s="141"/>
      <c r="J35" s="141"/>
      <c r="K35" s="142"/>
    </row>
  </sheetData>
  <mergeCells count="3">
    <mergeCell ref="A1:K1"/>
    <mergeCell ref="A20:K20"/>
    <mergeCell ref="M2:Q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Instructions</vt:lpstr>
      <vt:lpstr>Summary</vt:lpstr>
      <vt:lpstr>Research summary</vt:lpstr>
      <vt:lpstr>Balance Sheet</vt:lpstr>
      <vt:lpstr>Profit &amp; Loss</vt:lpstr>
      <vt:lpstr>Cash Flow</vt:lpstr>
      <vt:lpstr>Key Ratios</vt:lpstr>
      <vt:lpstr>Charts</vt:lpstr>
      <vt:lpstr>Common Size Analysis</vt:lpstr>
      <vt:lpstr>DCF Calc</vt:lpstr>
      <vt:lpstr>Expected Returns</vt:lpstr>
      <vt:lpstr>EBITDA Multiple</vt:lpstr>
      <vt:lpstr>Intrinsic Values</vt:lpstr>
      <vt:lpstr>Quarters</vt:lpstr>
      <vt:lpstr>Data 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Aditya Bhutra</cp:lastModifiedBy>
  <cp:lastPrinted>2012-12-06T18:14:13Z</cp:lastPrinted>
  <dcterms:created xsi:type="dcterms:W3CDTF">2012-08-17T09:55:37Z</dcterms:created>
  <dcterms:modified xsi:type="dcterms:W3CDTF">2020-05-30T10:16:34Z</dcterms:modified>
</cp:coreProperties>
</file>