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ies\Corona Research\"/>
    </mc:Choice>
  </mc:AlternateContent>
  <xr:revisionPtr revIDLastSave="0" documentId="13_ncr:1_{A0E85F15-A4A1-4258-9807-3F8163DB35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terval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J22" i="2"/>
  <c r="C22" i="2"/>
  <c r="D22" i="2"/>
  <c r="E22" i="2"/>
  <c r="F22" i="2"/>
  <c r="G22" i="2"/>
  <c r="H22" i="2"/>
  <c r="I22" i="2"/>
  <c r="B22" i="2"/>
  <c r="C21" i="2"/>
  <c r="D21" i="2"/>
  <c r="E21" i="2"/>
  <c r="F21" i="2"/>
  <c r="G21" i="2"/>
  <c r="H21" i="2"/>
  <c r="I21" i="2"/>
  <c r="B21" i="2"/>
  <c r="C20" i="2"/>
  <c r="D20" i="2"/>
  <c r="E20" i="2"/>
  <c r="F20" i="2"/>
  <c r="G20" i="2"/>
  <c r="H20" i="2"/>
  <c r="I20" i="2"/>
  <c r="B20" i="2"/>
  <c r="J19" i="2"/>
  <c r="J17" i="2"/>
  <c r="C12" i="2"/>
  <c r="D12" i="2"/>
  <c r="E12" i="2"/>
  <c r="F12" i="2"/>
  <c r="G12" i="2"/>
  <c r="H12" i="2"/>
  <c r="I12" i="2"/>
  <c r="B12" i="2"/>
  <c r="C11" i="2"/>
  <c r="D11" i="2"/>
  <c r="E11" i="2"/>
  <c r="F11" i="2"/>
  <c r="G11" i="2"/>
  <c r="H11" i="2"/>
  <c r="I11" i="2"/>
  <c r="B11" i="2"/>
  <c r="C10" i="2"/>
  <c r="D10" i="2"/>
  <c r="E10" i="2"/>
  <c r="F10" i="2"/>
  <c r="G10" i="2"/>
  <c r="H10" i="2"/>
  <c r="I10" i="2"/>
  <c r="B10" i="2"/>
  <c r="I24" i="2"/>
  <c r="I25" i="2"/>
  <c r="I26" i="2"/>
  <c r="I27" i="2"/>
  <c r="I28" i="2"/>
  <c r="I29" i="2"/>
  <c r="I30" i="2"/>
  <c r="H24" i="2"/>
  <c r="H25" i="2"/>
  <c r="H26" i="2"/>
  <c r="H27" i="2"/>
  <c r="H28" i="2"/>
  <c r="H29" i="2"/>
  <c r="H30" i="2"/>
  <c r="G24" i="2"/>
  <c r="G25" i="2"/>
  <c r="G26" i="2"/>
  <c r="G27" i="2"/>
  <c r="G28" i="2"/>
  <c r="G29" i="2"/>
  <c r="G30" i="2"/>
  <c r="F24" i="2"/>
  <c r="F25" i="2"/>
  <c r="F26" i="2"/>
  <c r="F27" i="2"/>
  <c r="F28" i="2"/>
  <c r="F29" i="2"/>
  <c r="F30" i="2"/>
  <c r="E24" i="2"/>
  <c r="E25" i="2"/>
  <c r="E26" i="2"/>
  <c r="E27" i="2"/>
  <c r="E28" i="2"/>
  <c r="E29" i="2"/>
  <c r="E30" i="2"/>
  <c r="D24" i="2"/>
  <c r="D25" i="2"/>
  <c r="D26" i="2"/>
  <c r="D27" i="2"/>
  <c r="D28" i="2"/>
  <c r="D29" i="2"/>
  <c r="D30" i="2"/>
  <c r="C24" i="2"/>
  <c r="C25" i="2"/>
  <c r="C26" i="2"/>
  <c r="C27" i="2"/>
  <c r="C28" i="2"/>
  <c r="C29" i="2"/>
  <c r="C30" i="2"/>
  <c r="B24" i="2"/>
  <c r="B25" i="2"/>
  <c r="B26" i="2"/>
  <c r="B27" i="2"/>
  <c r="B28" i="2"/>
  <c r="B29" i="2"/>
  <c r="B30" i="2"/>
  <c r="I23" i="2"/>
  <c r="H23" i="2"/>
  <c r="G23" i="2"/>
  <c r="F23" i="2"/>
  <c r="E23" i="2"/>
  <c r="D23" i="2"/>
  <c r="C23" i="2"/>
  <c r="B23" i="2"/>
  <c r="Q3" i="2"/>
  <c r="Q4" i="2"/>
  <c r="Q5" i="2"/>
  <c r="Q6" i="2"/>
  <c r="Q7" i="2"/>
  <c r="Q8" i="2"/>
  <c r="Q9" i="2"/>
  <c r="Q2" i="2"/>
  <c r="L13" i="2"/>
  <c r="R4" i="1"/>
  <c r="R6" i="1"/>
  <c r="R8" i="1"/>
  <c r="R10" i="1"/>
  <c r="R12" i="1"/>
  <c r="R14" i="1"/>
  <c r="R1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O4" i="1"/>
  <c r="O6" i="1"/>
  <c r="O8" i="1"/>
  <c r="O10" i="1"/>
  <c r="O12" i="1"/>
  <c r="O14" i="1"/>
  <c r="O16" i="1"/>
  <c r="O2" i="1"/>
  <c r="M19" i="1"/>
  <c r="B31" i="2" l="1"/>
  <c r="C31" i="2"/>
  <c r="I31" i="2"/>
  <c r="F31" i="2"/>
  <c r="E31" i="2"/>
  <c r="I3" i="1"/>
  <c r="J15" i="1"/>
  <c r="K14" i="1"/>
  <c r="J14" i="1"/>
  <c r="I14" i="1"/>
  <c r="K13" i="1"/>
  <c r="J13" i="1"/>
  <c r="K12" i="1"/>
  <c r="J12" i="1"/>
  <c r="I12" i="1"/>
  <c r="H12" i="1"/>
  <c r="J11" i="1"/>
  <c r="I11" i="1"/>
  <c r="K10" i="1"/>
  <c r="I10" i="1"/>
  <c r="I9" i="1"/>
  <c r="H9" i="1"/>
  <c r="K8" i="1"/>
  <c r="J8" i="1"/>
  <c r="I8" i="1"/>
  <c r="H8" i="1"/>
  <c r="J7" i="1"/>
  <c r="I7" i="1"/>
  <c r="H7" i="1"/>
  <c r="K6" i="1"/>
  <c r="J6" i="1"/>
  <c r="I6" i="1"/>
  <c r="H6" i="1"/>
  <c r="J5" i="1"/>
  <c r="I5" i="1"/>
  <c r="K4" i="1"/>
  <c r="J4" i="1"/>
  <c r="I4" i="1"/>
  <c r="H4" i="1"/>
  <c r="H3" i="1"/>
  <c r="J2" i="1"/>
  <c r="I2" i="1"/>
  <c r="H2" i="1"/>
  <c r="G31" i="2" l="1"/>
  <c r="D31" i="2"/>
  <c r="H31" i="2"/>
</calcChain>
</file>

<file path=xl/sharedStrings.xml><?xml version="1.0" encoding="utf-8"?>
<sst xmlns="http://schemas.openxmlformats.org/spreadsheetml/2006/main" count="124" uniqueCount="92">
  <si>
    <t>Country</t>
  </si>
  <si>
    <t>Order</t>
  </si>
  <si>
    <t>China</t>
  </si>
  <si>
    <t>Stage 1</t>
  </si>
  <si>
    <t>Stage 2</t>
  </si>
  <si>
    <t>Stage 3</t>
  </si>
  <si>
    <t>Stage 4</t>
  </si>
  <si>
    <t>1-24</t>
  </si>
  <si>
    <t>25-28</t>
  </si>
  <si>
    <t>29-51</t>
  </si>
  <si>
    <t>12321</t>
  </si>
  <si>
    <t>63-110</t>
  </si>
  <si>
    <t>South Korea</t>
  </si>
  <si>
    <t>1-31</t>
  </si>
  <si>
    <t>32-33</t>
  </si>
  <si>
    <t>34-38</t>
  </si>
  <si>
    <t>39-49</t>
  </si>
  <si>
    <t>50-62</t>
  </si>
  <si>
    <t>63-89</t>
  </si>
  <si>
    <t>123432</t>
  </si>
  <si>
    <t>Iceland</t>
  </si>
  <si>
    <t>1-12</t>
  </si>
  <si>
    <t>13-18</t>
  </si>
  <si>
    <t>19-23</t>
  </si>
  <si>
    <t>24-32</t>
  </si>
  <si>
    <t>45-49</t>
  </si>
  <si>
    <t>40-44</t>
  </si>
  <si>
    <t>33-39</t>
  </si>
  <si>
    <t>New Zealand</t>
  </si>
  <si>
    <t>1234321</t>
  </si>
  <si>
    <t>1-19</t>
  </si>
  <si>
    <t>20-24</t>
  </si>
  <si>
    <t>25-27</t>
  </si>
  <si>
    <t>28-35</t>
  </si>
  <si>
    <t>42-51</t>
  </si>
  <si>
    <t>36-41</t>
  </si>
  <si>
    <t>Switzerland</t>
  </si>
  <si>
    <t>1-14</t>
  </si>
  <si>
    <t>15-23</t>
  </si>
  <si>
    <t>24-40</t>
  </si>
  <si>
    <t>41-47</t>
  </si>
  <si>
    <t>48-53</t>
  </si>
  <si>
    <t>12432</t>
  </si>
  <si>
    <t>Australia</t>
  </si>
  <si>
    <t>1-45</t>
  </si>
  <si>
    <t>46-55</t>
  </si>
  <si>
    <t>56-58</t>
  </si>
  <si>
    <t>59-65</t>
  </si>
  <si>
    <t>73-85</t>
  </si>
  <si>
    <t>66-72</t>
  </si>
  <si>
    <t>12332</t>
  </si>
  <si>
    <t>Iran</t>
  </si>
  <si>
    <t>1-11</t>
  </si>
  <si>
    <t>12-33</t>
  </si>
  <si>
    <t>34-36</t>
  </si>
  <si>
    <t>37-47</t>
  </si>
  <si>
    <t>48-59</t>
  </si>
  <si>
    <t>12343</t>
  </si>
  <si>
    <t>Austria</t>
  </si>
  <si>
    <t>15-21</t>
  </si>
  <si>
    <t>22-26</t>
  </si>
  <si>
    <t>27-37</t>
  </si>
  <si>
    <t>38-47</t>
  </si>
  <si>
    <t>52-62</t>
  </si>
  <si>
    <t>Population</t>
  </si>
  <si>
    <t>Total Cases</t>
  </si>
  <si>
    <t>World Total</t>
  </si>
  <si>
    <t>Index 1</t>
  </si>
  <si>
    <t>Index 2</t>
  </si>
  <si>
    <t>cases/pop</t>
  </si>
  <si>
    <t>Index 3</t>
  </si>
  <si>
    <t>Index 4</t>
  </si>
  <si>
    <t>% of total cases</t>
  </si>
  <si>
    <t>% of total pop</t>
  </si>
  <si>
    <t>index3/index 4</t>
  </si>
  <si>
    <t>s1p1</t>
  </si>
  <si>
    <t>s1p2</t>
  </si>
  <si>
    <t>s2p1</t>
  </si>
  <si>
    <t>s2p2</t>
  </si>
  <si>
    <t>s3p1</t>
  </si>
  <si>
    <t>s3p2</t>
  </si>
  <si>
    <t>s4p1</t>
  </si>
  <si>
    <t>s4p2</t>
  </si>
  <si>
    <t>Index 5</t>
  </si>
  <si>
    <t>% of total cases in world</t>
  </si>
  <si>
    <t>% of total pop in consideration</t>
  </si>
  <si>
    <t>% total cases in consideration</t>
  </si>
  <si>
    <t>Index 5 spaced over 110 days</t>
  </si>
  <si>
    <t>Index 3 rounded</t>
  </si>
  <si>
    <t>Index 5 rounded</t>
  </si>
  <si>
    <t>s1: stage 1</t>
  </si>
  <si>
    <t>p1: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</si>
</sst>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F703-7C7B-41FE-90DC-2141FC043C47}">
  <dimension ref="A1:Q31"/>
  <sheetViews>
    <sheetView tabSelected="1" workbookViewId="0">
      <selection activeCell="N25" sqref="N25"/>
    </sheetView>
  </sheetViews>
  <sheetFormatPr defaultRowHeight="15" x14ac:dyDescent="0.25"/>
  <cols>
    <col min="2" max="2" width="14.5703125" customWidth="1"/>
    <col min="11" max="11" width="11" bestFit="1" customWidth="1"/>
  </cols>
  <sheetData>
    <row r="1" spans="1:17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K1" t="s">
        <v>64</v>
      </c>
      <c r="L1" t="s">
        <v>65</v>
      </c>
      <c r="M1" t="s">
        <v>67</v>
      </c>
      <c r="N1" t="s">
        <v>68</v>
      </c>
      <c r="O1" t="s">
        <v>70</v>
      </c>
      <c r="P1" t="s">
        <v>71</v>
      </c>
      <c r="Q1" t="s">
        <v>83</v>
      </c>
    </row>
    <row r="2" spans="1:17" x14ac:dyDescent="0.25">
      <c r="A2" t="s">
        <v>2</v>
      </c>
      <c r="B2">
        <v>24</v>
      </c>
      <c r="C2">
        <v>48</v>
      </c>
      <c r="D2">
        <v>4</v>
      </c>
      <c r="E2">
        <v>11</v>
      </c>
      <c r="F2">
        <v>23</v>
      </c>
      <c r="G2">
        <v>5</v>
      </c>
      <c r="I2">
        <v>11</v>
      </c>
      <c r="K2">
        <v>1439323776</v>
      </c>
      <c r="L2">
        <v>83785</v>
      </c>
      <c r="M2">
        <v>5.8211363834234335E-5</v>
      </c>
      <c r="N2">
        <v>3.8137882659041368E-2</v>
      </c>
      <c r="O2">
        <v>0.88687821185729243</v>
      </c>
      <c r="P2">
        <v>4.3002389898803978E-2</v>
      </c>
      <c r="Q2">
        <f>L2/$L$13</f>
        <v>0.37252181954800301</v>
      </c>
    </row>
    <row r="3" spans="1:17" x14ac:dyDescent="0.25">
      <c r="A3" t="s">
        <v>12</v>
      </c>
      <c r="B3">
        <v>31</v>
      </c>
      <c r="D3">
        <v>2</v>
      </c>
      <c r="E3">
        <v>27</v>
      </c>
      <c r="G3">
        <v>13</v>
      </c>
      <c r="I3">
        <v>9</v>
      </c>
      <c r="K3">
        <v>51269185</v>
      </c>
      <c r="L3">
        <v>10653</v>
      </c>
      <c r="M3">
        <v>2.0778563185664059E-4</v>
      </c>
      <c r="N3">
        <v>4.8491121795878464E-3</v>
      </c>
      <c r="O3">
        <v>3.1590892802830159E-2</v>
      </c>
      <c r="P3">
        <v>0.15349715533058392</v>
      </c>
      <c r="Q3">
        <f t="shared" ref="Q3:Q9" si="0">L3/$L$13</f>
        <v>4.7364981126035398E-2</v>
      </c>
    </row>
    <row r="4" spans="1:17" x14ac:dyDescent="0.25">
      <c r="A4" t="s">
        <v>20</v>
      </c>
      <c r="B4">
        <v>12</v>
      </c>
      <c r="C4">
        <v>5</v>
      </c>
      <c r="D4">
        <v>19</v>
      </c>
      <c r="E4">
        <v>5</v>
      </c>
      <c r="F4">
        <v>5</v>
      </c>
      <c r="G4">
        <v>7</v>
      </c>
      <c r="K4">
        <v>341243</v>
      </c>
      <c r="L4">
        <v>1754</v>
      </c>
      <c r="M4">
        <v>5.1400321764842067E-3</v>
      </c>
      <c r="N4">
        <v>7.9839883253516209E-4</v>
      </c>
      <c r="O4">
        <v>2.1026608932278072E-4</v>
      </c>
      <c r="P4">
        <v>3.7970879427425661</v>
      </c>
      <c r="Q4">
        <f t="shared" si="0"/>
        <v>7.7985710030100529E-3</v>
      </c>
    </row>
    <row r="5" spans="1:17" x14ac:dyDescent="0.25">
      <c r="A5" t="s">
        <v>28</v>
      </c>
      <c r="B5">
        <v>19</v>
      </c>
      <c r="C5">
        <v>10</v>
      </c>
      <c r="D5">
        <v>45</v>
      </c>
      <c r="E5">
        <v>6</v>
      </c>
      <c r="F5">
        <v>3</v>
      </c>
      <c r="H5">
        <v>8</v>
      </c>
      <c r="K5">
        <v>4822233</v>
      </c>
      <c r="L5">
        <v>1094</v>
      </c>
      <c r="M5">
        <v>2.2686585239659719E-4</v>
      </c>
      <c r="N5">
        <v>4.979750985139495E-4</v>
      </c>
      <c r="O5">
        <v>2.9713490817782663E-3</v>
      </c>
      <c r="P5">
        <v>0.16759225685321558</v>
      </c>
      <c r="Q5">
        <f t="shared" si="0"/>
        <v>4.8641030087189265E-3</v>
      </c>
    </row>
    <row r="6" spans="1:17" x14ac:dyDescent="0.25">
      <c r="A6" t="s">
        <v>36</v>
      </c>
      <c r="B6">
        <v>14</v>
      </c>
      <c r="D6">
        <v>9</v>
      </c>
      <c r="E6">
        <v>6</v>
      </c>
      <c r="G6">
        <v>7</v>
      </c>
      <c r="H6">
        <v>17</v>
      </c>
      <c r="K6">
        <v>8654622</v>
      </c>
      <c r="L6">
        <v>26997</v>
      </c>
      <c r="M6">
        <v>3.1193736710858084E-3</v>
      </c>
      <c r="N6">
        <v>1.2288696283894967E-2</v>
      </c>
      <c r="O6">
        <v>5.3327790533634492E-3</v>
      </c>
      <c r="P6">
        <v>2.3043700406346921</v>
      </c>
      <c r="Q6">
        <f t="shared" si="0"/>
        <v>0.1200330794573902</v>
      </c>
    </row>
    <row r="7" spans="1:17" x14ac:dyDescent="0.25">
      <c r="A7" t="s">
        <v>43</v>
      </c>
      <c r="B7">
        <v>45</v>
      </c>
      <c r="D7">
        <v>10</v>
      </c>
      <c r="F7">
        <v>3</v>
      </c>
      <c r="G7">
        <v>13</v>
      </c>
      <c r="H7">
        <v>7</v>
      </c>
      <c r="I7">
        <v>7</v>
      </c>
      <c r="K7">
        <v>25499884</v>
      </c>
      <c r="L7">
        <v>6533</v>
      </c>
      <c r="M7">
        <v>2.5619724387765841E-4</v>
      </c>
      <c r="N7">
        <v>2.9737397793342156E-3</v>
      </c>
      <c r="O7">
        <v>1.5712442121492743E-2</v>
      </c>
      <c r="P7">
        <v>0.18926018987630797</v>
      </c>
      <c r="Q7">
        <f t="shared" si="0"/>
        <v>2.9046786979854432E-2</v>
      </c>
    </row>
    <row r="8" spans="1:17" x14ac:dyDescent="0.25">
      <c r="A8" t="s">
        <v>51</v>
      </c>
      <c r="B8">
        <v>11</v>
      </c>
      <c r="D8">
        <v>22</v>
      </c>
      <c r="F8">
        <v>3</v>
      </c>
      <c r="G8">
        <v>12</v>
      </c>
      <c r="H8">
        <v>11</v>
      </c>
      <c r="K8">
        <v>83992949</v>
      </c>
      <c r="L8">
        <v>79494</v>
      </c>
      <c r="M8">
        <v>9.4643658719495611E-4</v>
      </c>
      <c r="N8">
        <v>3.6184673200427696E-2</v>
      </c>
      <c r="O8">
        <v>5.1754523658852393E-2</v>
      </c>
      <c r="P8">
        <v>0.69915962204471871</v>
      </c>
      <c r="Q8">
        <f t="shared" si="0"/>
        <v>0.35344333142148299</v>
      </c>
    </row>
    <row r="9" spans="1:17" x14ac:dyDescent="0.25">
      <c r="A9" t="s">
        <v>58</v>
      </c>
      <c r="B9">
        <v>14</v>
      </c>
      <c r="D9">
        <v>7</v>
      </c>
      <c r="E9">
        <v>6</v>
      </c>
      <c r="F9">
        <v>5</v>
      </c>
      <c r="G9">
        <v>10</v>
      </c>
      <c r="H9">
        <v>11</v>
      </c>
      <c r="K9">
        <v>9006398</v>
      </c>
      <c r="L9">
        <v>14603</v>
      </c>
      <c r="M9">
        <v>1.6214029182365691E-3</v>
      </c>
      <c r="N9">
        <v>6.6471027089572247E-3</v>
      </c>
      <c r="O9">
        <v>5.5495353350677205E-3</v>
      </c>
      <c r="P9">
        <v>1.1977764457059918</v>
      </c>
      <c r="Q9">
        <f t="shared" si="0"/>
        <v>6.4927327455505016E-2</v>
      </c>
    </row>
    <row r="10" spans="1:17" x14ac:dyDescent="0.25">
      <c r="B10">
        <f>AVERAGE(B2:B9)</f>
        <v>21.25</v>
      </c>
      <c r="C10">
        <f t="shared" ref="C10:I10" si="1">AVERAGE(C2:C9)</f>
        <v>21</v>
      </c>
      <c r="D10">
        <f t="shared" si="1"/>
        <v>14.75</v>
      </c>
      <c r="E10">
        <f t="shared" si="1"/>
        <v>10.166666666666666</v>
      </c>
      <c r="F10">
        <f t="shared" si="1"/>
        <v>7</v>
      </c>
      <c r="G10">
        <f t="shared" si="1"/>
        <v>9.5714285714285712</v>
      </c>
      <c r="H10">
        <f t="shared" si="1"/>
        <v>10.8</v>
      </c>
      <c r="I10">
        <f t="shared" si="1"/>
        <v>9</v>
      </c>
    </row>
    <row r="11" spans="1:17" x14ac:dyDescent="0.25">
      <c r="B11">
        <f>MEDIAN(B2:B9)</f>
        <v>16.5</v>
      </c>
      <c r="C11">
        <f t="shared" ref="C11:I11" si="2">MEDIAN(C2:C9)</f>
        <v>10</v>
      </c>
      <c r="D11">
        <f t="shared" si="2"/>
        <v>9.5</v>
      </c>
      <c r="E11">
        <f t="shared" si="2"/>
        <v>6</v>
      </c>
      <c r="F11">
        <f t="shared" si="2"/>
        <v>4</v>
      </c>
      <c r="G11">
        <f t="shared" si="2"/>
        <v>10</v>
      </c>
      <c r="H11">
        <f t="shared" si="2"/>
        <v>11</v>
      </c>
      <c r="I11">
        <f t="shared" si="2"/>
        <v>9</v>
      </c>
    </row>
    <row r="12" spans="1:17" x14ac:dyDescent="0.25">
      <c r="B12">
        <f>_xlfn.STDEV.S(B2:B9)</f>
        <v>11.756457192295889</v>
      </c>
      <c r="C12">
        <f t="shared" ref="C12:I12" si="3">_xlfn.STDEV.S(C2:C9)</f>
        <v>23.515952032609693</v>
      </c>
      <c r="D12">
        <f t="shared" si="3"/>
        <v>14.038213154508966</v>
      </c>
      <c r="E12">
        <f t="shared" si="3"/>
        <v>8.518607084885808</v>
      </c>
      <c r="F12">
        <f t="shared" si="3"/>
        <v>7.8993670632525994</v>
      </c>
      <c r="G12">
        <f t="shared" si="3"/>
        <v>3.2586880211286893</v>
      </c>
      <c r="H12">
        <f t="shared" si="3"/>
        <v>3.898717737923584</v>
      </c>
      <c r="I12">
        <f t="shared" si="3"/>
        <v>2</v>
      </c>
    </row>
    <row r="13" spans="1:17" x14ac:dyDescent="0.25">
      <c r="B13" t="s">
        <v>90</v>
      </c>
      <c r="L13">
        <f>SUM(L2:L9)</f>
        <v>224913</v>
      </c>
    </row>
    <row r="14" spans="1:17" x14ac:dyDescent="0.25">
      <c r="B14" t="s">
        <v>91</v>
      </c>
      <c r="H14" t="s">
        <v>66</v>
      </c>
      <c r="K14">
        <v>1622910290</v>
      </c>
      <c r="L14">
        <v>2196897</v>
      </c>
      <c r="M14" t="s">
        <v>69</v>
      </c>
      <c r="N14" t="s">
        <v>84</v>
      </c>
      <c r="O14" t="s">
        <v>85</v>
      </c>
      <c r="P14" t="s">
        <v>74</v>
      </c>
      <c r="Q14" t="s">
        <v>86</v>
      </c>
    </row>
    <row r="15" spans="1:17" x14ac:dyDescent="0.25">
      <c r="A15" t="s">
        <v>67</v>
      </c>
      <c r="B15">
        <v>0.16213981531707572</v>
      </c>
      <c r="C15">
        <v>3.0762964870430249E-2</v>
      </c>
      <c r="D15">
        <v>0.1713257522545909</v>
      </c>
      <c r="E15">
        <v>6.1756552595040759E-2</v>
      </c>
      <c r="F15">
        <v>3.9434535892198905E-2</v>
      </c>
      <c r="G15">
        <v>9.1709943365412327E-2</v>
      </c>
      <c r="H15">
        <v>8.4883894494521911E-2</v>
      </c>
      <c r="I15">
        <v>4.3037763960299524E-3</v>
      </c>
    </row>
    <row r="16" spans="1:17" x14ac:dyDescent="0.25">
      <c r="A16" t="s">
        <v>68</v>
      </c>
      <c r="B16">
        <v>1.8816248554210782</v>
      </c>
      <c r="C16">
        <v>1.8395901127818011</v>
      </c>
      <c r="D16">
        <v>1.1827564059671436</v>
      </c>
      <c r="E16">
        <v>0.67103737680919961</v>
      </c>
      <c r="F16">
        <v>1.033367973100241</v>
      </c>
      <c r="G16">
        <v>0.88468326007090914</v>
      </c>
      <c r="H16">
        <v>0.70485735107289971</v>
      </c>
      <c r="I16">
        <v>0.48397489732108517</v>
      </c>
    </row>
    <row r="17" spans="1:10" s="4" customFormat="1" x14ac:dyDescent="0.25">
      <c r="A17" s="4" t="s">
        <v>70</v>
      </c>
      <c r="B17" s="4">
        <v>23.752085644240999</v>
      </c>
      <c r="C17" s="4">
        <v>42.600918990414435</v>
      </c>
      <c r="D17" s="4">
        <v>5.1309660979474101</v>
      </c>
      <c r="E17" s="4">
        <v>10.692787747374503</v>
      </c>
      <c r="F17" s="4">
        <v>20.638312824426048</v>
      </c>
      <c r="G17" s="4">
        <v>5.7646853665583677</v>
      </c>
      <c r="H17" s="4">
        <v>0.85475978034497513</v>
      </c>
      <c r="I17" s="4">
        <v>10.149965460506138</v>
      </c>
      <c r="J17" s="4">
        <f>SUM(B17:I17)</f>
        <v>119.58448191181287</v>
      </c>
    </row>
    <row r="18" spans="1:10" x14ac:dyDescent="0.25">
      <c r="A18" t="s">
        <v>71</v>
      </c>
      <c r="B18">
        <v>119.77729256163663</v>
      </c>
      <c r="C18">
        <v>22.725476997387574</v>
      </c>
      <c r="D18">
        <v>126.56320541016088</v>
      </c>
      <c r="E18">
        <v>45.621321655688838</v>
      </c>
      <c r="F18">
        <v>29.131413116238004</v>
      </c>
      <c r="G18">
        <v>67.748743242420971</v>
      </c>
      <c r="H18">
        <v>62.706146820007461</v>
      </c>
      <c r="I18">
        <v>3.179322015996255</v>
      </c>
    </row>
    <row r="19" spans="1:10" s="4" customFormat="1" x14ac:dyDescent="0.25">
      <c r="A19" s="4" t="s">
        <v>83</v>
      </c>
      <c r="B19" s="4">
        <v>18.379266649771246</v>
      </c>
      <c r="C19" s="4">
        <v>17.968681223406382</v>
      </c>
      <c r="D19" s="4">
        <v>11.552884893269843</v>
      </c>
      <c r="E19" s="4">
        <v>6.5545344199757238</v>
      </c>
      <c r="F19" s="4">
        <v>10.093694006126814</v>
      </c>
      <c r="G19" s="4">
        <v>8.6413768879522301</v>
      </c>
      <c r="H19" s="4">
        <v>6.8848799313512341</v>
      </c>
      <c r="I19" s="4">
        <v>4.7273523540213329</v>
      </c>
      <c r="J19" s="4">
        <f>SUM(B19:I19)</f>
        <v>84.802670365874818</v>
      </c>
    </row>
    <row r="20" spans="1:10" s="5" customFormat="1" x14ac:dyDescent="0.25">
      <c r="B20" s="5">
        <f>B19*110/$J$19</f>
        <v>23.840279118007476</v>
      </c>
      <c r="C20" s="5">
        <f t="shared" ref="C20:I20" si="4">C19*110/$J$19</f>
        <v>23.307696869060877</v>
      </c>
      <c r="D20" s="5">
        <f t="shared" si="4"/>
        <v>14.98558161879615</v>
      </c>
      <c r="E20" s="5">
        <f t="shared" si="4"/>
        <v>8.5020764450769537</v>
      </c>
      <c r="F20" s="5">
        <f t="shared" si="4"/>
        <v>13.092822854323046</v>
      </c>
      <c r="G20" s="5">
        <f t="shared" si="4"/>
        <v>11.208980254674312</v>
      </c>
      <c r="H20" s="5">
        <f t="shared" si="4"/>
        <v>8.9305771761804476</v>
      </c>
      <c r="I20" s="5">
        <f t="shared" si="4"/>
        <v>6.1319856638807186</v>
      </c>
      <c r="J20" s="5" t="s">
        <v>87</v>
      </c>
    </row>
    <row r="21" spans="1:10" s="5" customFormat="1" x14ac:dyDescent="0.25">
      <c r="A21" s="6" t="s">
        <v>88</v>
      </c>
      <c r="B21" s="6">
        <f>ROUND(B17,0)</f>
        <v>24</v>
      </c>
      <c r="C21" s="6">
        <f t="shared" ref="C21:I21" si="5">ROUND(C17,0)</f>
        <v>43</v>
      </c>
      <c r="D21" s="6">
        <f t="shared" si="5"/>
        <v>5</v>
      </c>
      <c r="E21" s="6">
        <f t="shared" si="5"/>
        <v>11</v>
      </c>
      <c r="F21" s="6">
        <f t="shared" si="5"/>
        <v>21</v>
      </c>
      <c r="G21" s="6">
        <f t="shared" si="5"/>
        <v>6</v>
      </c>
      <c r="H21" s="6">
        <f t="shared" si="5"/>
        <v>1</v>
      </c>
      <c r="I21" s="6">
        <f t="shared" si="5"/>
        <v>10</v>
      </c>
      <c r="J21" s="6">
        <f>SUM(B21:I21)</f>
        <v>121</v>
      </c>
    </row>
    <row r="22" spans="1:10" s="7" customFormat="1" x14ac:dyDescent="0.25">
      <c r="A22" s="7" t="s">
        <v>89</v>
      </c>
      <c r="B22" s="7">
        <f>ROUND(B20,0)</f>
        <v>24</v>
      </c>
      <c r="C22" s="7">
        <f t="shared" ref="C22:I22" si="6">ROUND(C20,0)</f>
        <v>23</v>
      </c>
      <c r="D22" s="7">
        <f t="shared" si="6"/>
        <v>15</v>
      </c>
      <c r="E22" s="7">
        <f t="shared" si="6"/>
        <v>9</v>
      </c>
      <c r="F22" s="7">
        <f t="shared" si="6"/>
        <v>13</v>
      </c>
      <c r="G22" s="7">
        <f t="shared" si="6"/>
        <v>11</v>
      </c>
      <c r="H22" s="7">
        <f t="shared" si="6"/>
        <v>9</v>
      </c>
      <c r="I22" s="7">
        <f t="shared" si="6"/>
        <v>6</v>
      </c>
      <c r="J22" s="7">
        <f>SUM(B22:I22)</f>
        <v>110</v>
      </c>
    </row>
    <row r="23" spans="1:10" x14ac:dyDescent="0.25">
      <c r="B23">
        <f>B2*Q2</f>
        <v>8.9405236691520713</v>
      </c>
      <c r="C23">
        <f>C2*Q2</f>
        <v>17.881047338304143</v>
      </c>
      <c r="D23">
        <f>D2*Q2</f>
        <v>1.490087278192012</v>
      </c>
      <c r="E23">
        <f>E2*Q2</f>
        <v>4.097740015028033</v>
      </c>
      <c r="F23">
        <f>F2*Q2</f>
        <v>8.5680018496040695</v>
      </c>
      <c r="G23">
        <f>G2*Q2</f>
        <v>1.8626090977400152</v>
      </c>
      <c r="H23">
        <f>H2*Q2</f>
        <v>0</v>
      </c>
      <c r="I23">
        <f>I2*Q2</f>
        <v>4.097740015028033</v>
      </c>
    </row>
    <row r="24" spans="1:10" x14ac:dyDescent="0.25">
      <c r="B24">
        <f t="shared" ref="B24:B30" si="7">B3*Q3</f>
        <v>1.4683144149070972</v>
      </c>
      <c r="C24">
        <f t="shared" ref="C24:C30" si="8">C3*Q3</f>
        <v>0</v>
      </c>
      <c r="D24">
        <f t="shared" ref="D24:D30" si="9">D3*Q3</f>
        <v>9.4729962252070796E-2</v>
      </c>
      <c r="E24">
        <f t="shared" ref="E24:E30" si="10">E3*Q3</f>
        <v>1.2788544904029557</v>
      </c>
      <c r="F24">
        <f t="shared" ref="F24:F30" si="11">F3*Q3</f>
        <v>0</v>
      </c>
      <c r="G24">
        <f t="shared" ref="G24:G30" si="12">G3*Q3</f>
        <v>0.61574475463846012</v>
      </c>
      <c r="H24">
        <f t="shared" ref="H24:H30" si="13">H3*Q3</f>
        <v>0</v>
      </c>
      <c r="I24">
        <f t="shared" ref="I24:I30" si="14">I3*Q3</f>
        <v>0.42628483013431856</v>
      </c>
    </row>
    <row r="25" spans="1:10" x14ac:dyDescent="0.25">
      <c r="B25">
        <f t="shared" si="7"/>
        <v>9.3582852036120628E-2</v>
      </c>
      <c r="C25">
        <f t="shared" si="8"/>
        <v>3.8992855015050266E-2</v>
      </c>
      <c r="D25">
        <f t="shared" si="9"/>
        <v>0.148172849057191</v>
      </c>
      <c r="E25">
        <f t="shared" si="10"/>
        <v>3.8992855015050266E-2</v>
      </c>
      <c r="F25">
        <f t="shared" si="11"/>
        <v>3.8992855015050266E-2</v>
      </c>
      <c r="G25">
        <f t="shared" si="12"/>
        <v>5.4589997021070369E-2</v>
      </c>
      <c r="H25">
        <f t="shared" si="13"/>
        <v>0</v>
      </c>
      <c r="I25">
        <f t="shared" si="14"/>
        <v>0</v>
      </c>
    </row>
    <row r="26" spans="1:10" x14ac:dyDescent="0.25">
      <c r="B26">
        <f t="shared" si="7"/>
        <v>9.2417957165659606E-2</v>
      </c>
      <c r="C26">
        <f t="shared" si="8"/>
        <v>4.8641030087189265E-2</v>
      </c>
      <c r="D26">
        <f t="shared" si="9"/>
        <v>0.2188846353923517</v>
      </c>
      <c r="E26">
        <f t="shared" si="10"/>
        <v>2.9184618052313559E-2</v>
      </c>
      <c r="F26">
        <f t="shared" si="11"/>
        <v>1.4592309026156779E-2</v>
      </c>
      <c r="G26">
        <f t="shared" si="12"/>
        <v>0</v>
      </c>
      <c r="H26">
        <f t="shared" si="13"/>
        <v>3.8912824069751412E-2</v>
      </c>
      <c r="I26">
        <f t="shared" si="14"/>
        <v>0</v>
      </c>
    </row>
    <row r="27" spans="1:10" x14ac:dyDescent="0.25">
      <c r="B27">
        <f t="shared" si="7"/>
        <v>1.6804631124034628</v>
      </c>
      <c r="C27">
        <f t="shared" si="8"/>
        <v>0</v>
      </c>
      <c r="D27">
        <f t="shared" si="9"/>
        <v>1.0802977151165118</v>
      </c>
      <c r="E27">
        <f t="shared" si="10"/>
        <v>0.72019847674434123</v>
      </c>
      <c r="F27">
        <f t="shared" si="11"/>
        <v>0</v>
      </c>
      <c r="G27">
        <f t="shared" si="12"/>
        <v>0.8402315562017314</v>
      </c>
      <c r="H27">
        <f t="shared" si="13"/>
        <v>2.0405623507756334</v>
      </c>
      <c r="I27">
        <f t="shared" si="14"/>
        <v>0</v>
      </c>
    </row>
    <row r="28" spans="1:10" x14ac:dyDescent="0.25">
      <c r="B28">
        <f t="shared" si="7"/>
        <v>1.3071054140934495</v>
      </c>
      <c r="C28">
        <f t="shared" si="8"/>
        <v>0</v>
      </c>
      <c r="D28">
        <f t="shared" si="9"/>
        <v>0.29046786979854433</v>
      </c>
      <c r="E28">
        <f t="shared" si="10"/>
        <v>0</v>
      </c>
      <c r="F28">
        <f t="shared" si="11"/>
        <v>8.7140360939563288E-2</v>
      </c>
      <c r="G28">
        <f t="shared" si="12"/>
        <v>0.37760823073810762</v>
      </c>
      <c r="H28">
        <f t="shared" si="13"/>
        <v>0.20332750885898102</v>
      </c>
      <c r="I28">
        <f t="shared" si="14"/>
        <v>0.20332750885898102</v>
      </c>
    </row>
    <row r="29" spans="1:10" x14ac:dyDescent="0.25">
      <c r="B29">
        <f t="shared" si="7"/>
        <v>3.8878766456363127</v>
      </c>
      <c r="C29">
        <f t="shared" si="8"/>
        <v>0</v>
      </c>
      <c r="D29">
        <f t="shared" si="9"/>
        <v>7.7757532912726255</v>
      </c>
      <c r="E29">
        <f t="shared" si="10"/>
        <v>0</v>
      </c>
      <c r="F29">
        <f t="shared" si="11"/>
        <v>1.0603299942644488</v>
      </c>
      <c r="G29">
        <f t="shared" si="12"/>
        <v>4.2413199770577954</v>
      </c>
      <c r="H29">
        <f t="shared" si="13"/>
        <v>3.8878766456363127</v>
      </c>
      <c r="I29">
        <f t="shared" si="14"/>
        <v>0</v>
      </c>
    </row>
    <row r="30" spans="1:10" x14ac:dyDescent="0.25">
      <c r="B30">
        <f t="shared" si="7"/>
        <v>0.90898258437707025</v>
      </c>
      <c r="C30">
        <f t="shared" si="8"/>
        <v>0</v>
      </c>
      <c r="D30">
        <f t="shared" si="9"/>
        <v>0.45449129218853512</v>
      </c>
      <c r="E30">
        <f t="shared" si="10"/>
        <v>0.38956396473303012</v>
      </c>
      <c r="F30">
        <f t="shared" si="11"/>
        <v>0.32463663727752506</v>
      </c>
      <c r="G30">
        <f t="shared" si="12"/>
        <v>0.64927327455505013</v>
      </c>
      <c r="H30">
        <f t="shared" si="13"/>
        <v>0.71420060201055513</v>
      </c>
      <c r="I30">
        <f t="shared" si="14"/>
        <v>0</v>
      </c>
    </row>
    <row r="31" spans="1:10" x14ac:dyDescent="0.25">
      <c r="A31" t="s">
        <v>83</v>
      </c>
      <c r="B31">
        <f>SUM(B23:B30)</f>
        <v>18.379266649771246</v>
      </c>
      <c r="C31">
        <f>SUM(C23:C30)</f>
        <v>17.968681223406382</v>
      </c>
      <c r="D31">
        <f>SUM(D23:D30)</f>
        <v>11.552884893269843</v>
      </c>
      <c r="E31">
        <f t="shared" ref="E31:I31" si="15">SUM(E23:E30)</f>
        <v>6.5545344199757238</v>
      </c>
      <c r="F31">
        <f t="shared" si="15"/>
        <v>10.093694006126814</v>
      </c>
      <c r="G31">
        <f t="shared" si="15"/>
        <v>8.6413768879522301</v>
      </c>
      <c r="H31">
        <f t="shared" si="15"/>
        <v>6.8848799313512341</v>
      </c>
      <c r="I31">
        <f t="shared" si="15"/>
        <v>4.7273523540213329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P19" sqref="P19"/>
    </sheetView>
  </sheetViews>
  <sheetFormatPr defaultRowHeight="15" x14ac:dyDescent="0.25"/>
  <cols>
    <col min="1" max="1" width="22.42578125" customWidth="1"/>
    <col min="2" max="5" width="9.140625" style="2"/>
    <col min="13" max="13" width="11" bestFit="1" customWidth="1"/>
    <col min="15" max="15" width="12" bestFit="1" customWidth="1"/>
    <col min="17" max="17" width="14.42578125" customWidth="1"/>
  </cols>
  <sheetData>
    <row r="1" spans="1:18" x14ac:dyDescent="0.25">
      <c r="A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3</v>
      </c>
      <c r="I1" s="2" t="s">
        <v>4</v>
      </c>
      <c r="J1" s="2" t="s">
        <v>5</v>
      </c>
      <c r="K1" s="2" t="s">
        <v>6</v>
      </c>
      <c r="M1" s="2" t="s">
        <v>64</v>
      </c>
      <c r="N1" s="2" t="s">
        <v>65</v>
      </c>
      <c r="O1" s="2" t="s">
        <v>67</v>
      </c>
      <c r="P1" s="2" t="s">
        <v>68</v>
      </c>
      <c r="Q1" s="2" t="s">
        <v>70</v>
      </c>
      <c r="R1" s="2" t="s">
        <v>71</v>
      </c>
    </row>
    <row r="2" spans="1:18" x14ac:dyDescent="0.25">
      <c r="A2" t="s">
        <v>2</v>
      </c>
      <c r="B2" s="2" t="s">
        <v>10</v>
      </c>
      <c r="C2" s="2" t="s">
        <v>7</v>
      </c>
      <c r="D2" s="2" t="s">
        <v>8</v>
      </c>
      <c r="E2" s="2" t="s">
        <v>9</v>
      </c>
      <c r="F2" s="2"/>
      <c r="H2">
        <f>24-1+1</f>
        <v>24</v>
      </c>
      <c r="I2">
        <f>28-25+1</f>
        <v>4</v>
      </c>
      <c r="J2">
        <f>51-29+1</f>
        <v>23</v>
      </c>
      <c r="M2">
        <v>1439323776</v>
      </c>
      <c r="N2">
        <v>83785</v>
      </c>
      <c r="O2">
        <f>N2/M2</f>
        <v>5.8211363834234335E-5</v>
      </c>
      <c r="P2">
        <f>N2*100/$N$19</f>
        <v>3.8137882659041367</v>
      </c>
      <c r="Q2">
        <f>M2*100/$M$19</f>
        <v>88.687821185729248</v>
      </c>
      <c r="R2">
        <f>P2/Q2</f>
        <v>4.3002389898803978E-2</v>
      </c>
    </row>
    <row r="3" spans="1:18" x14ac:dyDescent="0.25">
      <c r="C3" s="2" t="s">
        <v>11</v>
      </c>
      <c r="D3" s="2" t="s">
        <v>63</v>
      </c>
      <c r="G3" s="2"/>
      <c r="H3">
        <f>110-63+1</f>
        <v>48</v>
      </c>
      <c r="I3">
        <f>62-52+1</f>
        <v>11</v>
      </c>
      <c r="P3">
        <f t="shared" ref="P3:P16" si="0">N3*100/$N$19</f>
        <v>0</v>
      </c>
      <c r="Q3">
        <f t="shared" ref="Q3:Q16" si="1">M3*100/$M$19</f>
        <v>0</v>
      </c>
    </row>
    <row r="4" spans="1:18" x14ac:dyDescent="0.25">
      <c r="A4" t="s">
        <v>12</v>
      </c>
      <c r="B4" s="2" t="s">
        <v>19</v>
      </c>
      <c r="C4" s="2" t="s">
        <v>13</v>
      </c>
      <c r="D4" s="2" t="s">
        <v>14</v>
      </c>
      <c r="E4" s="2" t="s">
        <v>15</v>
      </c>
      <c r="F4" s="2" t="s">
        <v>16</v>
      </c>
      <c r="H4">
        <f>31-1+1</f>
        <v>31</v>
      </c>
      <c r="I4">
        <f>33-32+1</f>
        <v>2</v>
      </c>
      <c r="J4">
        <f>38-34+1</f>
        <v>5</v>
      </c>
      <c r="K4">
        <f>49-39+1</f>
        <v>11</v>
      </c>
      <c r="M4">
        <v>51269185</v>
      </c>
      <c r="N4">
        <v>10653</v>
      </c>
      <c r="O4">
        <f t="shared" ref="O3:O16" si="2">N4/M4</f>
        <v>2.0778563185664059E-4</v>
      </c>
      <c r="P4">
        <f t="shared" si="0"/>
        <v>0.48491121795878461</v>
      </c>
      <c r="Q4">
        <f t="shared" si="1"/>
        <v>3.1590892802830157</v>
      </c>
      <c r="R4">
        <f t="shared" ref="R3:R16" si="3">P4/Q4</f>
        <v>0.15349715533058392</v>
      </c>
    </row>
    <row r="5" spans="1:18" x14ac:dyDescent="0.25">
      <c r="D5" s="2" t="s">
        <v>18</v>
      </c>
      <c r="E5" s="2" t="s">
        <v>17</v>
      </c>
      <c r="I5">
        <f>89-63+1</f>
        <v>27</v>
      </c>
      <c r="J5">
        <f>62-50+1</f>
        <v>13</v>
      </c>
      <c r="P5">
        <f t="shared" si="0"/>
        <v>0</v>
      </c>
      <c r="Q5">
        <f t="shared" si="1"/>
        <v>0</v>
      </c>
    </row>
    <row r="6" spans="1:18" x14ac:dyDescent="0.25">
      <c r="A6" t="s">
        <v>20</v>
      </c>
      <c r="B6" s="2" t="s">
        <v>29</v>
      </c>
      <c r="C6" s="2" t="s">
        <v>21</v>
      </c>
      <c r="D6" s="2" t="s">
        <v>22</v>
      </c>
      <c r="E6" s="2" t="s">
        <v>23</v>
      </c>
      <c r="F6" s="2" t="s">
        <v>24</v>
      </c>
      <c r="H6">
        <f>12-1+1</f>
        <v>12</v>
      </c>
      <c r="I6">
        <f>31-13+1</f>
        <v>19</v>
      </c>
      <c r="J6">
        <f>23-19+1</f>
        <v>5</v>
      </c>
      <c r="K6">
        <f>32-24+1</f>
        <v>9</v>
      </c>
      <c r="M6" s="3">
        <v>341243</v>
      </c>
      <c r="N6">
        <v>1754</v>
      </c>
      <c r="O6">
        <f t="shared" si="2"/>
        <v>5.1400321764842067E-3</v>
      </c>
      <c r="P6">
        <f t="shared" si="0"/>
        <v>7.9839883253516208E-2</v>
      </c>
      <c r="Q6">
        <f t="shared" si="1"/>
        <v>2.1026608932278073E-2</v>
      </c>
      <c r="R6">
        <f t="shared" si="3"/>
        <v>3.7970879427425661</v>
      </c>
    </row>
    <row r="7" spans="1:18" x14ac:dyDescent="0.25">
      <c r="C7" s="2" t="s">
        <v>25</v>
      </c>
      <c r="D7" s="2" t="s">
        <v>26</v>
      </c>
      <c r="E7" s="2" t="s">
        <v>27</v>
      </c>
      <c r="H7">
        <f>49-45+1</f>
        <v>5</v>
      </c>
      <c r="I7">
        <f>44-40+1</f>
        <v>5</v>
      </c>
      <c r="J7">
        <f>39-33+1</f>
        <v>7</v>
      </c>
      <c r="P7">
        <f t="shared" si="0"/>
        <v>0</v>
      </c>
      <c r="Q7">
        <f t="shared" si="1"/>
        <v>0</v>
      </c>
    </row>
    <row r="8" spans="1:18" x14ac:dyDescent="0.25">
      <c r="A8" t="s">
        <v>28</v>
      </c>
      <c r="B8" s="2" t="s">
        <v>19</v>
      </c>
      <c r="C8" s="2" t="s">
        <v>30</v>
      </c>
      <c r="D8" s="2" t="s">
        <v>31</v>
      </c>
      <c r="E8" s="2" t="s">
        <v>32</v>
      </c>
      <c r="F8" s="2" t="s">
        <v>33</v>
      </c>
      <c r="H8">
        <f>19-1+1</f>
        <v>19</v>
      </c>
      <c r="I8">
        <f>24+20+1</f>
        <v>45</v>
      </c>
      <c r="J8">
        <f>27-25+1</f>
        <v>3</v>
      </c>
      <c r="K8">
        <f>35-28+1</f>
        <v>8</v>
      </c>
      <c r="M8" s="3">
        <v>4822233</v>
      </c>
      <c r="N8">
        <v>1094</v>
      </c>
      <c r="O8">
        <f t="shared" si="2"/>
        <v>2.2686585239659719E-4</v>
      </c>
      <c r="P8">
        <f t="shared" si="0"/>
        <v>4.9797509851394944E-2</v>
      </c>
      <c r="Q8">
        <f t="shared" si="1"/>
        <v>0.29713490817782662</v>
      </c>
      <c r="R8">
        <f t="shared" si="3"/>
        <v>0.16759225685321558</v>
      </c>
    </row>
    <row r="9" spans="1:18" x14ac:dyDescent="0.25">
      <c r="C9" s="2" t="s">
        <v>34</v>
      </c>
      <c r="D9" s="2" t="s">
        <v>35</v>
      </c>
      <c r="H9">
        <f>51-42+1</f>
        <v>10</v>
      </c>
      <c r="I9">
        <f>41-36+1</f>
        <v>6</v>
      </c>
      <c r="P9">
        <f t="shared" si="0"/>
        <v>0</v>
      </c>
      <c r="Q9">
        <f t="shared" si="1"/>
        <v>0</v>
      </c>
    </row>
    <row r="10" spans="1:18" x14ac:dyDescent="0.25">
      <c r="A10" t="s">
        <v>36</v>
      </c>
      <c r="B10" s="2" t="s">
        <v>42</v>
      </c>
      <c r="C10" s="2" t="s">
        <v>37</v>
      </c>
      <c r="D10" s="2" t="s">
        <v>38</v>
      </c>
      <c r="F10" s="2" t="s">
        <v>39</v>
      </c>
      <c r="H10">
        <v>14</v>
      </c>
      <c r="I10">
        <f>23-15+1</f>
        <v>9</v>
      </c>
      <c r="K10">
        <f>40-24+1</f>
        <v>17</v>
      </c>
      <c r="M10">
        <v>8654622</v>
      </c>
      <c r="N10">
        <v>26997</v>
      </c>
      <c r="O10">
        <f t="shared" si="2"/>
        <v>3.1193736710858084E-3</v>
      </c>
      <c r="P10">
        <f t="shared" si="0"/>
        <v>1.2288696283894966</v>
      </c>
      <c r="Q10">
        <f t="shared" si="1"/>
        <v>0.53327790533634489</v>
      </c>
      <c r="R10">
        <f t="shared" si="3"/>
        <v>2.3043700406346921</v>
      </c>
    </row>
    <row r="11" spans="1:18" x14ac:dyDescent="0.25">
      <c r="D11" s="2" t="s">
        <v>41</v>
      </c>
      <c r="E11" s="2" t="s">
        <v>40</v>
      </c>
      <c r="I11">
        <f>53-48+1</f>
        <v>6</v>
      </c>
      <c r="J11">
        <f>47-41+1</f>
        <v>7</v>
      </c>
      <c r="P11">
        <f t="shared" si="0"/>
        <v>0</v>
      </c>
      <c r="Q11">
        <f t="shared" si="1"/>
        <v>0</v>
      </c>
    </row>
    <row r="12" spans="1:18" x14ac:dyDescent="0.25">
      <c r="A12" t="s">
        <v>43</v>
      </c>
      <c r="B12" s="2" t="s">
        <v>50</v>
      </c>
      <c r="C12" s="2" t="s">
        <v>44</v>
      </c>
      <c r="D12" s="2" t="s">
        <v>45</v>
      </c>
      <c r="E12" s="2" t="s">
        <v>46</v>
      </c>
      <c r="F12" s="2" t="s">
        <v>47</v>
      </c>
      <c r="H12">
        <f>45-1+1</f>
        <v>45</v>
      </c>
      <c r="I12">
        <f>55-46+1</f>
        <v>10</v>
      </c>
      <c r="J12">
        <f>58-56+1</f>
        <v>3</v>
      </c>
      <c r="K12">
        <f>65-59+1</f>
        <v>7</v>
      </c>
      <c r="M12" s="3">
        <v>25499884</v>
      </c>
      <c r="N12">
        <v>6533</v>
      </c>
      <c r="O12">
        <f t="shared" si="2"/>
        <v>2.5619724387765841E-4</v>
      </c>
      <c r="P12">
        <f t="shared" si="0"/>
        <v>0.29737397793342157</v>
      </c>
      <c r="Q12">
        <f t="shared" si="1"/>
        <v>1.5712442121492742</v>
      </c>
      <c r="R12">
        <f t="shared" si="3"/>
        <v>0.18926018987630797</v>
      </c>
    </row>
    <row r="13" spans="1:18" x14ac:dyDescent="0.25">
      <c r="D13" s="2" t="s">
        <v>48</v>
      </c>
      <c r="E13" s="2" t="s">
        <v>49</v>
      </c>
      <c r="J13">
        <f>85-73+1</f>
        <v>13</v>
      </c>
      <c r="K13">
        <f>72-66+1</f>
        <v>7</v>
      </c>
      <c r="P13">
        <f t="shared" si="0"/>
        <v>0</v>
      </c>
      <c r="Q13">
        <f t="shared" si="1"/>
        <v>0</v>
      </c>
    </row>
    <row r="14" spans="1:18" x14ac:dyDescent="0.25">
      <c r="A14" t="s">
        <v>51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55</v>
      </c>
      <c r="H14">
        <v>11</v>
      </c>
      <c r="I14">
        <f>33-12+1</f>
        <v>22</v>
      </c>
      <c r="J14">
        <f>36-34+1</f>
        <v>3</v>
      </c>
      <c r="K14">
        <f>47-37+1</f>
        <v>11</v>
      </c>
      <c r="M14" s="3">
        <v>83992949</v>
      </c>
      <c r="N14">
        <v>79494</v>
      </c>
      <c r="O14">
        <f t="shared" si="2"/>
        <v>9.4643658719495611E-4</v>
      </c>
      <c r="P14">
        <f t="shared" si="0"/>
        <v>3.6184673200427695</v>
      </c>
      <c r="Q14">
        <f t="shared" si="1"/>
        <v>5.1754523658852394</v>
      </c>
      <c r="R14">
        <f t="shared" si="3"/>
        <v>0.69915962204471871</v>
      </c>
    </row>
    <row r="15" spans="1:18" x14ac:dyDescent="0.25">
      <c r="E15" s="2" t="s">
        <v>56</v>
      </c>
      <c r="J15">
        <f>59-48+1</f>
        <v>12</v>
      </c>
      <c r="P15">
        <f t="shared" si="0"/>
        <v>0</v>
      </c>
      <c r="Q15">
        <f t="shared" si="1"/>
        <v>0</v>
      </c>
    </row>
    <row r="16" spans="1:18" x14ac:dyDescent="0.25">
      <c r="A16" t="s">
        <v>58</v>
      </c>
      <c r="B16" s="2" t="s">
        <v>19</v>
      </c>
      <c r="C16" s="2" t="s">
        <v>37</v>
      </c>
      <c r="D16" s="2" t="s">
        <v>59</v>
      </c>
      <c r="E16" s="2" t="s">
        <v>60</v>
      </c>
      <c r="F16" s="2" t="s">
        <v>61</v>
      </c>
      <c r="H16">
        <v>14</v>
      </c>
      <c r="I16">
        <v>7</v>
      </c>
      <c r="J16">
        <v>5</v>
      </c>
      <c r="K16">
        <v>11</v>
      </c>
      <c r="M16">
        <v>9006398</v>
      </c>
      <c r="N16">
        <v>14603</v>
      </c>
      <c r="O16">
        <f t="shared" si="2"/>
        <v>1.6214029182365691E-3</v>
      </c>
      <c r="P16">
        <f t="shared" si="0"/>
        <v>0.66471027089572243</v>
      </c>
      <c r="Q16">
        <f t="shared" si="1"/>
        <v>0.55495353350677201</v>
      </c>
      <c r="R16">
        <f t="shared" si="3"/>
        <v>1.1977764457059918</v>
      </c>
    </row>
    <row r="17" spans="3:18" x14ac:dyDescent="0.25">
      <c r="C17" s="2" t="s">
        <v>41</v>
      </c>
      <c r="D17" s="2" t="s">
        <v>62</v>
      </c>
      <c r="I17">
        <v>6</v>
      </c>
      <c r="J17">
        <v>10</v>
      </c>
    </row>
    <row r="19" spans="3:18" x14ac:dyDescent="0.25">
      <c r="K19" t="s">
        <v>66</v>
      </c>
      <c r="M19">
        <f>SUM(M2:M16)</f>
        <v>1622910290</v>
      </c>
      <c r="N19">
        <v>2196897</v>
      </c>
      <c r="O19" t="s">
        <v>69</v>
      </c>
      <c r="P19" t="s">
        <v>72</v>
      </c>
      <c r="Q19" t="s">
        <v>73</v>
      </c>
      <c r="R19" t="s">
        <v>74</v>
      </c>
    </row>
    <row r="20" spans="3:18" x14ac:dyDescent="0.25">
      <c r="F20" s="2"/>
    </row>
    <row r="21" spans="3:18" x14ac:dyDescent="0.25">
      <c r="C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Sharan</dc:creator>
  <cp:lastModifiedBy>SHWETANK</cp:lastModifiedBy>
  <dcterms:created xsi:type="dcterms:W3CDTF">2015-06-05T18:17:20Z</dcterms:created>
  <dcterms:modified xsi:type="dcterms:W3CDTF">2020-04-19T16:06:06Z</dcterms:modified>
</cp:coreProperties>
</file>