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rn\Documents\Third semester\Financial\"/>
    </mc:Choice>
  </mc:AlternateContent>
  <xr:revisionPtr revIDLastSave="0" documentId="13_ncr:1_{9484548F-5CF0-4404-83DA-E33E29BDA940}" xr6:coauthVersionLast="47" xr6:coauthVersionMax="47" xr10:uidLastSave="{00000000-0000-0000-0000-000000000000}"/>
  <bookViews>
    <workbookView xWindow="-110" yWindow="-110" windowWidth="19420" windowHeight="10300" activeTab="1" xr2:uid="{26ADEF5D-60C5-4DA8-9186-6342BEC6A61A}"/>
  </bookViews>
  <sheets>
    <sheet name="PPPN 1" sheetId="1" r:id="rId1"/>
    <sheet name="PPPN2" sheetId="10" r:id="rId2"/>
    <sheet name="Stock price on 7 Dec" sheetId="5" r:id="rId3"/>
    <sheet name="Screenshot Call" sheetId="6" r:id="rId4"/>
    <sheet name="Screenshot put" sheetId="7" r:id="rId5"/>
    <sheet name="Interest rate 2 yr" sheetId="8" r:id="rId6"/>
    <sheet name="ABBV chart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" l="1"/>
  <c r="B24" i="1"/>
  <c r="B25" i="1"/>
  <c r="B26" i="1"/>
  <c r="B27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L35" i="10"/>
  <c r="L36" i="10"/>
  <c r="L37" i="10"/>
  <c r="L38" i="10"/>
  <c r="L39" i="10"/>
  <c r="L40" i="10"/>
  <c r="L41" i="10"/>
  <c r="L42" i="10"/>
  <c r="L43" i="10"/>
  <c r="L44" i="10"/>
  <c r="K35" i="10"/>
  <c r="K36" i="10"/>
  <c r="K37" i="10"/>
  <c r="K38" i="10"/>
  <c r="K39" i="10"/>
  <c r="K40" i="10"/>
  <c r="K41" i="10"/>
  <c r="K42" i="10"/>
  <c r="K43" i="10"/>
  <c r="K44" i="10"/>
  <c r="J35" i="10"/>
  <c r="J36" i="10"/>
  <c r="J37" i="10"/>
  <c r="J38" i="10"/>
  <c r="J39" i="10"/>
  <c r="J40" i="10"/>
  <c r="J41" i="10"/>
  <c r="J42" i="10"/>
  <c r="J43" i="10"/>
  <c r="J44" i="10"/>
  <c r="I35" i="10"/>
  <c r="I36" i="10"/>
  <c r="I37" i="10"/>
  <c r="I38" i="10"/>
  <c r="I39" i="10"/>
  <c r="I40" i="10"/>
  <c r="I41" i="10"/>
  <c r="I42" i="10"/>
  <c r="I43" i="10"/>
  <c r="I44" i="10"/>
  <c r="H35" i="10"/>
  <c r="H36" i="10" s="1"/>
  <c r="H37" i="10" s="1"/>
  <c r="H38" i="10" s="1"/>
  <c r="H39" i="10" s="1"/>
  <c r="H40" i="10" s="1"/>
  <c r="H41" i="10" s="1"/>
  <c r="H42" i="10" s="1"/>
  <c r="H43" i="10" s="1"/>
  <c r="H44" i="10" s="1"/>
  <c r="H34" i="10"/>
  <c r="K34" i="10" s="1"/>
  <c r="K32" i="10"/>
  <c r="K33" i="10"/>
  <c r="K21" i="10" a="1"/>
  <c r="K21" i="10" s="1"/>
  <c r="K22" i="10" a="1"/>
  <c r="K22" i="10" s="1"/>
  <c r="H23" i="10"/>
  <c r="I23" i="10" s="1"/>
  <c r="B23" i="10"/>
  <c r="B30" i="10"/>
  <c r="B37" i="10"/>
  <c r="I33" i="10"/>
  <c r="B33" i="10"/>
  <c r="I32" i="10"/>
  <c r="I31" i="10"/>
  <c r="I30" i="10"/>
  <c r="I22" i="10"/>
  <c r="H18" i="10"/>
  <c r="H19" i="10" s="1"/>
  <c r="K17" i="10" a="1"/>
  <c r="K17" i="10" s="1"/>
  <c r="I17" i="10"/>
  <c r="K16" i="10" a="1"/>
  <c r="K16" i="10" s="1"/>
  <c r="I16" i="10"/>
  <c r="K15" i="10" a="1"/>
  <c r="K15" i="10" s="1"/>
  <c r="I15" i="10"/>
  <c r="B11" i="10"/>
  <c r="B12" i="10" s="1"/>
  <c r="B10" i="10"/>
  <c r="I34" i="10" l="1"/>
  <c r="J34" i="10" s="1"/>
  <c r="K23" i="10" a="1"/>
  <c r="K23" i="10" s="1"/>
  <c r="H24" i="10"/>
  <c r="I19" i="10"/>
  <c r="J19" i="10" s="1"/>
  <c r="H20" i="10"/>
  <c r="K19" i="10" a="1"/>
  <c r="K19" i="10" s="1"/>
  <c r="J31" i="10"/>
  <c r="I18" i="10"/>
  <c r="J18" i="10" s="1"/>
  <c r="J22" i="10"/>
  <c r="J33" i="10"/>
  <c r="J15" i="10"/>
  <c r="K18" i="10" a="1"/>
  <c r="K18" i="10" s="1"/>
  <c r="J17" i="10"/>
  <c r="J30" i="10"/>
  <c r="J32" i="10"/>
  <c r="B13" i="10"/>
  <c r="B14" i="10" s="1"/>
  <c r="B39" i="10" s="1"/>
  <c r="J16" i="10"/>
  <c r="J23" i="10"/>
  <c r="H25" i="10" l="1"/>
  <c r="H26" i="10" s="1"/>
  <c r="K24" i="10" a="1"/>
  <c r="K24" i="10" s="1"/>
  <c r="B40" i="10"/>
  <c r="I25" i="10"/>
  <c r="J25" i="10" s="1"/>
  <c r="I24" i="10"/>
  <c r="J24" i="10" s="1"/>
  <c r="L15" i="10"/>
  <c r="L34" i="10"/>
  <c r="L23" i="10"/>
  <c r="L18" i="10"/>
  <c r="L16" i="10"/>
  <c r="L32" i="10"/>
  <c r="K20" i="10" a="1"/>
  <c r="K20" i="10" s="1"/>
  <c r="I20" i="10"/>
  <c r="J20" i="10" s="1"/>
  <c r="L30" i="10"/>
  <c r="L22" i="10"/>
  <c r="L19" i="10"/>
  <c r="L17" i="10"/>
  <c r="L31" i="10"/>
  <c r="L33" i="10"/>
  <c r="L24" i="10" l="1"/>
  <c r="K25" i="10" a="1"/>
  <c r="K25" i="10" s="1"/>
  <c r="L25" i="10" s="1"/>
  <c r="L20" i="10"/>
  <c r="I21" i="10"/>
  <c r="J21" i="10" s="1"/>
  <c r="L21" i="10" s="1"/>
  <c r="K26" i="10" l="1" a="1"/>
  <c r="K26" i="10" s="1"/>
  <c r="H27" i="10"/>
  <c r="I26" i="10"/>
  <c r="J26" i="10" s="1"/>
  <c r="L26" i="10" s="1"/>
  <c r="I27" i="10" l="1"/>
  <c r="J27" i="10" s="1"/>
  <c r="L27" i="10" s="1"/>
  <c r="H28" i="10"/>
  <c r="H29" i="10" l="1"/>
  <c r="I29" i="10" s="1"/>
  <c r="J29" i="10" s="1"/>
  <c r="L29" i="10" s="1"/>
  <c r="I28" i="10"/>
  <c r="J28" i="10" s="1"/>
  <c r="L28" i="10" s="1"/>
  <c r="D24" i="1" l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23" i="1"/>
  <c r="B31" i="1"/>
  <c r="C31" i="1"/>
  <c r="C29" i="1"/>
  <c r="E29" i="1" s="1"/>
  <c r="A24" i="1" l="1"/>
  <c r="C15" i="1"/>
  <c r="D15" i="1" s="1"/>
  <c r="I5" i="1" s="1"/>
  <c r="I8" i="1" s="1"/>
  <c r="D11" i="1"/>
  <c r="C8" i="1"/>
  <c r="C12" i="1" s="1"/>
  <c r="A25" i="1" l="1"/>
  <c r="A32" i="1"/>
  <c r="C24" i="1"/>
  <c r="C27" i="1"/>
  <c r="C25" i="1"/>
  <c r="C30" i="1"/>
  <c r="C23" i="1"/>
  <c r="C13" i="1"/>
  <c r="C14" i="1" s="1"/>
  <c r="D16" i="1" s="1"/>
  <c r="A33" i="1" l="1"/>
  <c r="C32" i="1"/>
  <c r="A26" i="1"/>
  <c r="A34" i="1"/>
  <c r="I4" i="1"/>
  <c r="I9" i="1" s="1"/>
  <c r="C34" i="1" l="1"/>
  <c r="C33" i="1"/>
  <c r="A28" i="1"/>
  <c r="C26" i="1"/>
  <c r="A35" i="1"/>
  <c r="I14" i="1"/>
  <c r="E33" i="1" l="1"/>
  <c r="C35" i="1"/>
  <c r="E32" i="1"/>
  <c r="E34" i="1"/>
  <c r="E31" i="1"/>
  <c r="E26" i="1"/>
  <c r="I15" i="1"/>
  <c r="E25" i="1"/>
  <c r="E27" i="1"/>
  <c r="E30" i="1"/>
  <c r="E23" i="1"/>
  <c r="E24" i="1"/>
  <c r="C28" i="1"/>
  <c r="E28" i="1" s="1"/>
  <c r="A36" i="1"/>
  <c r="C36" i="1" l="1"/>
  <c r="E35" i="1"/>
  <c r="A37" i="1"/>
  <c r="C37" i="1" l="1"/>
  <c r="E36" i="1"/>
  <c r="A38" i="1"/>
  <c r="E37" i="1" l="1"/>
  <c r="C38" i="1"/>
  <c r="A39" i="1"/>
  <c r="C39" i="1" l="1"/>
  <c r="E38" i="1"/>
  <c r="A40" i="1"/>
  <c r="C40" i="1" l="1"/>
  <c r="E39" i="1"/>
  <c r="A41" i="1"/>
  <c r="C41" i="1" l="1"/>
  <c r="E40" i="1"/>
  <c r="A42" i="1"/>
  <c r="C42" i="1" l="1"/>
  <c r="E41" i="1"/>
  <c r="A43" i="1"/>
  <c r="C43" i="1" l="1"/>
  <c r="E42" i="1"/>
  <c r="A44" i="1"/>
  <c r="C44" i="1" l="1"/>
  <c r="E43" i="1"/>
  <c r="A45" i="1"/>
  <c r="C45" i="1" l="1"/>
  <c r="E44" i="1"/>
  <c r="A46" i="1"/>
  <c r="C46" i="1" l="1"/>
  <c r="E45" i="1"/>
  <c r="A47" i="1"/>
  <c r="C47" i="1" l="1"/>
  <c r="E46" i="1"/>
  <c r="A48" i="1"/>
  <c r="C48" i="1" l="1"/>
  <c r="E47" i="1"/>
  <c r="A49" i="1"/>
  <c r="C49" i="1" l="1"/>
  <c r="E48" i="1"/>
  <c r="A50" i="1"/>
  <c r="C50" i="1" l="1"/>
  <c r="E49" i="1"/>
  <c r="E5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prern</author>
  </authors>
  <commentList>
    <comment ref="C13" authorId="0" shapeId="0" xr:uid="{9B941ED4-96CE-440A-8875-848359373B68}">
      <text>
        <r>
          <rPr>
            <b/>
            <sz val="9"/>
            <color indexed="81"/>
            <rFont val="Tahoma"/>
            <family val="2"/>
          </rPr>
          <t xml:space="preserve">Assumption: </t>
        </r>
        <r>
          <rPr>
            <sz val="9"/>
            <color indexed="81"/>
            <rFont val="Tahoma"/>
            <family val="2"/>
          </rPr>
          <t xml:space="preserve">Continuous compounding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<sst xmlns="http://schemas.openxmlformats.org/spreadsheetml/2006/main" count="71" uniqueCount="64">
  <si>
    <t>Investemnt by client</t>
  </si>
  <si>
    <t>N</t>
  </si>
  <si>
    <t>Stock price today</t>
  </si>
  <si>
    <t>S0</t>
  </si>
  <si>
    <t>Starting date</t>
  </si>
  <si>
    <t>T0</t>
  </si>
  <si>
    <t>Maturity Date</t>
  </si>
  <si>
    <t>T</t>
  </si>
  <si>
    <t>DAYS</t>
  </si>
  <si>
    <t>Interest free rate</t>
  </si>
  <si>
    <t xml:space="preserve">r </t>
  </si>
  <si>
    <t xml:space="preserve">client invest 10000 today will get 90% of PPN + premium, so protected part is </t>
  </si>
  <si>
    <t>DF- discount factor</t>
  </si>
  <si>
    <t>Amount of money bank agent should put today to get 9000 after 409 days</t>
  </si>
  <si>
    <t>Remaining amount to buy options</t>
  </si>
  <si>
    <t>Price per option</t>
  </si>
  <si>
    <t xml:space="preserve">Available Amount </t>
  </si>
  <si>
    <t>Total amount paid to buy 82 call options</t>
  </si>
  <si>
    <t>Stock Price Range</t>
  </si>
  <si>
    <t>Premium</t>
  </si>
  <si>
    <t>TotalPayoff</t>
  </si>
  <si>
    <t>Remaining amount for bank</t>
  </si>
  <si>
    <t>bank Margin</t>
  </si>
  <si>
    <t xml:space="preserve">Buying put and call options </t>
  </si>
  <si>
    <t>Strike Price K2 for call options</t>
  </si>
  <si>
    <t>Ask price of call options</t>
  </si>
  <si>
    <t>PPPN 1:                Company name :AbbVie Inc.                  Ticker: ABBV</t>
  </si>
  <si>
    <t>Discount Factor</t>
  </si>
  <si>
    <t>Remaining amount</t>
  </si>
  <si>
    <t>Client payoff</t>
  </si>
  <si>
    <t>Bank payoff</t>
  </si>
  <si>
    <t>Details:</t>
  </si>
  <si>
    <t>Start Date, T(0)</t>
  </si>
  <si>
    <t>Maturity Date, T</t>
  </si>
  <si>
    <t>Investment, N</t>
  </si>
  <si>
    <t>Current stock price, S(0)</t>
  </si>
  <si>
    <t>Interest rate, r</t>
  </si>
  <si>
    <t>Protected Percentage of the investment</t>
  </si>
  <si>
    <t>Calculations:</t>
  </si>
  <si>
    <t>Protected Amount</t>
  </si>
  <si>
    <t>Days till maturity</t>
  </si>
  <si>
    <t>Amount of money bank should invest today to get 9,000 after maturity</t>
  </si>
  <si>
    <t>ST</t>
  </si>
  <si>
    <t>Total payoff</t>
  </si>
  <si>
    <t>Bank</t>
  </si>
  <si>
    <t>Short sell call options at K2</t>
  </si>
  <si>
    <t>Strike price</t>
  </si>
  <si>
    <t>Number</t>
  </si>
  <si>
    <t>Bid price</t>
  </si>
  <si>
    <t>Amount in hand</t>
  </si>
  <si>
    <t>Buy call options at K1</t>
  </si>
  <si>
    <t>Ask price</t>
  </si>
  <si>
    <t>Cost to buy</t>
  </si>
  <si>
    <t>Buy call options at 1.1*S(0)</t>
  </si>
  <si>
    <t>Strike price selected</t>
  </si>
  <si>
    <t>Number of options</t>
  </si>
  <si>
    <t>Savings bank</t>
  </si>
  <si>
    <t>margin bank</t>
  </si>
  <si>
    <t xml:space="preserve">2-yr rate of interest </t>
  </si>
  <si>
    <t>Assumption: continuous compunding</t>
  </si>
  <si>
    <t>90% of the capital is protected</t>
  </si>
  <si>
    <t>Number of call options</t>
  </si>
  <si>
    <t xml:space="preserve">Number of options to buy , N/S0 calls </t>
  </si>
  <si>
    <t xml:space="preserve">PPPN 2    ABBV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</si>
</sst>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7" formatCode="_([$$-409]* #,##0.00_);_([$$-409]* \(#,##0.00\);_([$$-409]* &quot;-&quot;??_);_(@_)"/>
    <numFmt numFmtId="168" formatCode="0.00000"/>
    <numFmt numFmtId="169" formatCode="_-[$$-409]* #,##0.00_ ;_-[$$-409]* \-#,##0.00\ ;_-[$$-409]* &quot;-&quot;??_ ;_-@_ 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5B636A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5B636A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theme="2" tint="-0.74999237037263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3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0" fontId="0" fillId="0" borderId="1" xfId="0" applyNumberFormat="1" applyBorder="1" applyAlignment="1">
      <alignment wrapText="1"/>
    </xf>
    <xf numFmtId="0" fontId="0" fillId="0" borderId="1" xfId="0" applyBorder="1"/>
    <xf numFmtId="2" fontId="0" fillId="0" borderId="1" xfId="0" applyNumberFormat="1" applyBorder="1" applyAlignment="1">
      <alignment wrapText="1"/>
    </xf>
    <xf numFmtId="0" fontId="7" fillId="3" borderId="1" xfId="0" applyFont="1" applyFill="1" applyBorder="1" applyAlignment="1">
      <alignment horizontal="center" wrapText="1"/>
    </xf>
    <xf numFmtId="10" fontId="0" fillId="0" borderId="0" xfId="2" applyNumberFormat="1" applyFont="1"/>
    <xf numFmtId="0" fontId="10" fillId="0" borderId="0" xfId="0" applyFont="1"/>
    <xf numFmtId="14" fontId="0" fillId="0" borderId="0" xfId="0" applyNumberFormat="1"/>
    <xf numFmtId="167" fontId="0" fillId="0" borderId="0" xfId="1" applyNumberFormat="1" applyFont="1"/>
    <xf numFmtId="167" fontId="0" fillId="0" borderId="0" xfId="1" applyNumberFormat="1" applyFont="1" applyFill="1"/>
    <xf numFmtId="10" fontId="0" fillId="0" borderId="0" xfId="2" applyNumberFormat="1" applyFont="1" applyFill="1"/>
    <xf numFmtId="0" fontId="11" fillId="0" borderId="0" xfId="0" applyFont="1"/>
    <xf numFmtId="9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/>
    </xf>
    <xf numFmtId="167" fontId="0" fillId="0" borderId="0" xfId="0" applyNumberFormat="1"/>
    <xf numFmtId="168" fontId="0" fillId="0" borderId="0" xfId="0" applyNumberFormat="1"/>
    <xf numFmtId="167" fontId="0" fillId="0" borderId="0" xfId="0" applyNumberFormat="1" applyAlignment="1">
      <alignment horizontal="right" vertical="center"/>
    </xf>
    <xf numFmtId="167" fontId="11" fillId="0" borderId="0" xfId="0" applyNumberFormat="1" applyFont="1" applyAlignment="1">
      <alignment vertical="center"/>
    </xf>
    <xf numFmtId="167" fontId="0" fillId="0" borderId="2" xfId="0" applyNumberFormat="1" applyBorder="1"/>
    <xf numFmtId="169" fontId="0" fillId="0" borderId="0" xfId="0" applyNumberFormat="1"/>
    <xf numFmtId="0" fontId="12" fillId="0" borderId="0" xfId="0" applyFont="1"/>
    <xf numFmtId="0" fontId="0" fillId="0" borderId="0" xfId="0" applyBorder="1"/>
    <xf numFmtId="167" fontId="0" fillId="0" borderId="0" xfId="0" applyNumberFormat="1" applyBorder="1"/>
    <xf numFmtId="169" fontId="0" fillId="0" borderId="0" xfId="0" applyNumberFormat="1" applyBorder="1"/>
    <xf numFmtId="0" fontId="0" fillId="0" borderId="6" xfId="0" applyBorder="1"/>
    <xf numFmtId="169" fontId="0" fillId="0" borderId="7" xfId="0" applyNumberFormat="1" applyBorder="1"/>
    <xf numFmtId="0" fontId="0" fillId="6" borderId="6" xfId="0" applyFill="1" applyBorder="1"/>
    <xf numFmtId="0" fontId="0" fillId="5" borderId="6" xfId="0" applyFill="1" applyBorder="1"/>
    <xf numFmtId="0" fontId="0" fillId="0" borderId="8" xfId="0" applyBorder="1"/>
    <xf numFmtId="0" fontId="0" fillId="0" borderId="9" xfId="0" applyBorder="1"/>
    <xf numFmtId="167" fontId="0" fillId="0" borderId="9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8" fillId="3" borderId="0" xfId="0" applyFont="1" applyFill="1" applyAlignment="1">
      <alignment horizontal="center"/>
    </xf>
    <xf numFmtId="0" fontId="0" fillId="0" borderId="0" xfId="0" applyBorder="1" applyAlignment="1">
      <alignment wrapText="1"/>
    </xf>
    <xf numFmtId="0" fontId="9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 payoff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'PPPN 1'!$A$23:$A$50</c:f>
              <c:numCache>
                <c:formatCode>General</c:formatCode>
                <c:ptCount val="2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95</c:v>
                </c:pt>
                <c:pt idx="5">
                  <c:v>115</c:v>
                </c:pt>
                <c:pt idx="6">
                  <c:v>120</c:v>
                </c:pt>
                <c:pt idx="7">
                  <c:v>121.73</c:v>
                </c:pt>
                <c:pt idx="8">
                  <c:v>125</c:v>
                </c:pt>
                <c:pt idx="9">
                  <c:v>145</c:v>
                </c:pt>
                <c:pt idx="10">
                  <c:v>165</c:v>
                </c:pt>
                <c:pt idx="11">
                  <c:v>185</c:v>
                </c:pt>
                <c:pt idx="12">
                  <c:v>205</c:v>
                </c:pt>
                <c:pt idx="13">
                  <c:v>225</c:v>
                </c:pt>
                <c:pt idx="14">
                  <c:v>245</c:v>
                </c:pt>
                <c:pt idx="15">
                  <c:v>265</c:v>
                </c:pt>
                <c:pt idx="16">
                  <c:v>285</c:v>
                </c:pt>
                <c:pt idx="17">
                  <c:v>305</c:v>
                </c:pt>
                <c:pt idx="18">
                  <c:v>325</c:v>
                </c:pt>
                <c:pt idx="19">
                  <c:v>345</c:v>
                </c:pt>
                <c:pt idx="20">
                  <c:v>365</c:v>
                </c:pt>
                <c:pt idx="21">
                  <c:v>385</c:v>
                </c:pt>
                <c:pt idx="22">
                  <c:v>405</c:v>
                </c:pt>
                <c:pt idx="23">
                  <c:v>425</c:v>
                </c:pt>
                <c:pt idx="24">
                  <c:v>445</c:v>
                </c:pt>
                <c:pt idx="25">
                  <c:v>465</c:v>
                </c:pt>
                <c:pt idx="26">
                  <c:v>485</c:v>
                </c:pt>
                <c:pt idx="27">
                  <c:v>505</c:v>
                </c:pt>
              </c:numCache>
            </c:numRef>
          </c:xVal>
          <c:yVal>
            <c:numRef>
              <c:f>'PPPN 1'!$D$23:$D$50</c:f>
              <c:numCache>
                <c:formatCode>General</c:formatCode>
                <c:ptCount val="28"/>
                <c:pt idx="0">
                  <c:v>9000</c:v>
                </c:pt>
                <c:pt idx="1">
                  <c:v>9000</c:v>
                </c:pt>
                <c:pt idx="2">
                  <c:v>9000</c:v>
                </c:pt>
                <c:pt idx="3">
                  <c:v>9000</c:v>
                </c:pt>
                <c:pt idx="4">
                  <c:v>9000</c:v>
                </c:pt>
                <c:pt idx="5">
                  <c:v>9000</c:v>
                </c:pt>
                <c:pt idx="6">
                  <c:v>9000</c:v>
                </c:pt>
                <c:pt idx="7">
                  <c:v>9000</c:v>
                </c:pt>
                <c:pt idx="8">
                  <c:v>9265.4585999999999</c:v>
                </c:pt>
                <c:pt idx="9">
                  <c:v>10889.0586</c:v>
                </c:pt>
                <c:pt idx="10">
                  <c:v>12512.658599999999</c:v>
                </c:pt>
                <c:pt idx="11">
                  <c:v>14136.258599999999</c:v>
                </c:pt>
                <c:pt idx="12">
                  <c:v>15759.8586</c:v>
                </c:pt>
                <c:pt idx="13">
                  <c:v>17383.458599999998</c:v>
                </c:pt>
                <c:pt idx="14">
                  <c:v>19007.058599999997</c:v>
                </c:pt>
                <c:pt idx="15">
                  <c:v>20630.658599999995</c:v>
                </c:pt>
                <c:pt idx="16">
                  <c:v>22254.258599999997</c:v>
                </c:pt>
                <c:pt idx="17">
                  <c:v>23877.8586</c:v>
                </c:pt>
                <c:pt idx="18">
                  <c:v>25501.458599999998</c:v>
                </c:pt>
                <c:pt idx="19">
                  <c:v>27125.058599999997</c:v>
                </c:pt>
                <c:pt idx="20">
                  <c:v>28748.658599999995</c:v>
                </c:pt>
                <c:pt idx="21">
                  <c:v>30372.258599999997</c:v>
                </c:pt>
                <c:pt idx="22">
                  <c:v>31995.858599999996</c:v>
                </c:pt>
                <c:pt idx="23">
                  <c:v>33619.458599999998</c:v>
                </c:pt>
                <c:pt idx="24">
                  <c:v>35243.058599999997</c:v>
                </c:pt>
                <c:pt idx="25">
                  <c:v>36866.658599999995</c:v>
                </c:pt>
                <c:pt idx="26">
                  <c:v>38490.258600000001</c:v>
                </c:pt>
                <c:pt idx="27">
                  <c:v>40113.858599999992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7A-45DE-9ABB-E76DA38E4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40928"/>
        <c:axId val="1165239264"/>
      </c:scatterChart>
      <c:valAx>
        <c:axId val="11652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65239264"/>
        <c:crosses val="autoZero"/>
        <c:crossBetween val="midCat"/>
      </c:valAx>
      <c:valAx>
        <c:axId val="11652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6524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Bank Payoff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'PPPN 1'!$A$23:$A$50</c:f>
              <c:numCache>
                <c:formatCode>General</c:formatCode>
                <c:ptCount val="2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95</c:v>
                </c:pt>
                <c:pt idx="5">
                  <c:v>115</c:v>
                </c:pt>
                <c:pt idx="6">
                  <c:v>120</c:v>
                </c:pt>
                <c:pt idx="7">
                  <c:v>121.73</c:v>
                </c:pt>
                <c:pt idx="8">
                  <c:v>125</c:v>
                </c:pt>
                <c:pt idx="9">
                  <c:v>145</c:v>
                </c:pt>
                <c:pt idx="10">
                  <c:v>165</c:v>
                </c:pt>
                <c:pt idx="11">
                  <c:v>185</c:v>
                </c:pt>
                <c:pt idx="12">
                  <c:v>205</c:v>
                </c:pt>
                <c:pt idx="13">
                  <c:v>225</c:v>
                </c:pt>
                <c:pt idx="14">
                  <c:v>245</c:v>
                </c:pt>
                <c:pt idx="15">
                  <c:v>265</c:v>
                </c:pt>
                <c:pt idx="16">
                  <c:v>285</c:v>
                </c:pt>
                <c:pt idx="17">
                  <c:v>305</c:v>
                </c:pt>
                <c:pt idx="18">
                  <c:v>325</c:v>
                </c:pt>
                <c:pt idx="19">
                  <c:v>345</c:v>
                </c:pt>
                <c:pt idx="20">
                  <c:v>365</c:v>
                </c:pt>
                <c:pt idx="21">
                  <c:v>385</c:v>
                </c:pt>
                <c:pt idx="22">
                  <c:v>405</c:v>
                </c:pt>
                <c:pt idx="23">
                  <c:v>425</c:v>
                </c:pt>
                <c:pt idx="24">
                  <c:v>445</c:v>
                </c:pt>
                <c:pt idx="25">
                  <c:v>465</c:v>
                </c:pt>
                <c:pt idx="26">
                  <c:v>485</c:v>
                </c:pt>
                <c:pt idx="27">
                  <c:v>505</c:v>
                </c:pt>
              </c:numCache>
            </c:numRef>
          </c:xVal>
          <c:yVal>
            <c:numRef>
              <c:f>'PPPN 1'!$E$23:$E$50</c:f>
              <c:numCache>
                <c:formatCode>0.00</c:formatCode>
                <c:ptCount val="28"/>
                <c:pt idx="0">
                  <c:v>32.113907117063718</c:v>
                </c:pt>
                <c:pt idx="1">
                  <c:v>32.113907117063718</c:v>
                </c:pt>
                <c:pt idx="2">
                  <c:v>32.113907117063718</c:v>
                </c:pt>
                <c:pt idx="3">
                  <c:v>32.113907117063718</c:v>
                </c:pt>
                <c:pt idx="4">
                  <c:v>32.113907117063718</c:v>
                </c:pt>
                <c:pt idx="5">
                  <c:v>32.113907117063718</c:v>
                </c:pt>
                <c:pt idx="6">
                  <c:v>32.113907117063718</c:v>
                </c:pt>
                <c:pt idx="7">
                  <c:v>32.113907117063718</c:v>
                </c:pt>
                <c:pt idx="8">
                  <c:v>34.795307117063203</c:v>
                </c:pt>
                <c:pt idx="9">
                  <c:v>51.195307117062839</c:v>
                </c:pt>
                <c:pt idx="10">
                  <c:v>67.595307117064294</c:v>
                </c:pt>
                <c:pt idx="11">
                  <c:v>83.99530711706393</c:v>
                </c:pt>
                <c:pt idx="12">
                  <c:v>100.39530711706357</c:v>
                </c:pt>
                <c:pt idx="13">
                  <c:v>116.79530711706684</c:v>
                </c:pt>
                <c:pt idx="14">
                  <c:v>133.1953071170683</c:v>
                </c:pt>
                <c:pt idx="15">
                  <c:v>149.59530711706975</c:v>
                </c:pt>
                <c:pt idx="16">
                  <c:v>165.99530711706757</c:v>
                </c:pt>
                <c:pt idx="17">
                  <c:v>182.39530711706539</c:v>
                </c:pt>
                <c:pt idx="18">
                  <c:v>198.79530711706684</c:v>
                </c:pt>
                <c:pt idx="19">
                  <c:v>215.1953071170683</c:v>
                </c:pt>
                <c:pt idx="20">
                  <c:v>231.59530711706975</c:v>
                </c:pt>
                <c:pt idx="21">
                  <c:v>247.99530711706757</c:v>
                </c:pt>
                <c:pt idx="22">
                  <c:v>264.39530711706902</c:v>
                </c:pt>
                <c:pt idx="23">
                  <c:v>280.7953071170632</c:v>
                </c:pt>
                <c:pt idx="24">
                  <c:v>297.19530711706466</c:v>
                </c:pt>
                <c:pt idx="25">
                  <c:v>313.59530711706611</c:v>
                </c:pt>
                <c:pt idx="26">
                  <c:v>329.99530711706029</c:v>
                </c:pt>
                <c:pt idx="27">
                  <c:v>346.39530711706902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D-43A6-BDE3-6612CABE2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63040"/>
        <c:axId val="1003061792"/>
      </c:scatterChart>
      <c:valAx>
        <c:axId val="100306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003061792"/>
        <c:crosses val="autoZero"/>
        <c:crossBetween val="midCat"/>
      </c:valAx>
      <c:valAx>
        <c:axId val="10030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00306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 Payoff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PPPN2!$H$15:$H$45</c:f>
              <c:numCache>
                <c:formatCode>General</c:formatCode>
                <c:ptCount val="3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115.005</c:v>
                </c:pt>
                <c:pt idx="7">
                  <c:v>115.005</c:v>
                </c:pt>
                <c:pt idx="8">
                  <c:v>116.005</c:v>
                </c:pt>
                <c:pt idx="9">
                  <c:v>117.005</c:v>
                </c:pt>
                <c:pt idx="10">
                  <c:v>118.005</c:v>
                </c:pt>
                <c:pt idx="11">
                  <c:v>119.005</c:v>
                </c:pt>
                <c:pt idx="12">
                  <c:v>120.005</c:v>
                </c:pt>
                <c:pt idx="13">
                  <c:v>121.005</c:v>
                </c:pt>
                <c:pt idx="14">
                  <c:v>122.005</c:v>
                </c:pt>
                <c:pt idx="15">
                  <c:v>133</c:v>
                </c:pt>
                <c:pt idx="16">
                  <c:v>133.9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</c:numCache>
            </c:numRef>
          </c:xVal>
          <c:yVal>
            <c:numRef>
              <c:f>PPPN2!$K$15:$K$45</c:f>
              <c:numCache>
                <c:formatCode>_-[$$-409]* #,##0.00_ ;_-[$$-409]* \-#,##0.00\ ;_-[$$-409]* "-"??_ ;_-@_ </c:formatCode>
                <c:ptCount val="31"/>
                <c:pt idx="0">
                  <c:v>9000</c:v>
                </c:pt>
                <c:pt idx="1">
                  <c:v>9000</c:v>
                </c:pt>
                <c:pt idx="2">
                  <c:v>9000</c:v>
                </c:pt>
                <c:pt idx="3">
                  <c:v>9000</c:v>
                </c:pt>
                <c:pt idx="4">
                  <c:v>9000</c:v>
                </c:pt>
                <c:pt idx="5">
                  <c:v>9000</c:v>
                </c:pt>
                <c:pt idx="6">
                  <c:v>9000</c:v>
                </c:pt>
                <c:pt idx="7">
                  <c:v>9000</c:v>
                </c:pt>
                <c:pt idx="8">
                  <c:v>9000</c:v>
                </c:pt>
                <c:pt idx="9">
                  <c:v>9000</c:v>
                </c:pt>
                <c:pt idx="10">
                  <c:v>9000</c:v>
                </c:pt>
                <c:pt idx="11">
                  <c:v>9000</c:v>
                </c:pt>
                <c:pt idx="12">
                  <c:v>9200</c:v>
                </c:pt>
                <c:pt idx="13">
                  <c:v>9200</c:v>
                </c:pt>
                <c:pt idx="14">
                  <c:v>9200</c:v>
                </c:pt>
                <c:pt idx="15">
                  <c:v>9200</c:v>
                </c:pt>
                <c:pt idx="16">
                  <c:v>9200</c:v>
                </c:pt>
                <c:pt idx="17">
                  <c:v>9217.6280000000006</c:v>
                </c:pt>
                <c:pt idx="18">
                  <c:v>9299.6280000000006</c:v>
                </c:pt>
                <c:pt idx="19">
                  <c:v>9381.6280000000006</c:v>
                </c:pt>
                <c:pt idx="20">
                  <c:v>9463.6280000000006</c:v>
                </c:pt>
                <c:pt idx="21">
                  <c:v>9545.6280000000006</c:v>
                </c:pt>
                <c:pt idx="22">
                  <c:v>9627.6280000000006</c:v>
                </c:pt>
                <c:pt idx="23">
                  <c:v>9709.6280000000006</c:v>
                </c:pt>
                <c:pt idx="24">
                  <c:v>9791.6280000000006</c:v>
                </c:pt>
                <c:pt idx="25">
                  <c:v>9873.6280000000006</c:v>
                </c:pt>
                <c:pt idx="26">
                  <c:v>9955.6280000000006</c:v>
                </c:pt>
                <c:pt idx="27">
                  <c:v>10037.628000000001</c:v>
                </c:pt>
                <c:pt idx="28">
                  <c:v>10119.628000000001</c:v>
                </c:pt>
                <c:pt idx="29">
                  <c:v>10201.628000000001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D1-4D09-BB27-CC16CE949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67040"/>
        <c:axId val="994268288"/>
      </c:scatterChart>
      <c:valAx>
        <c:axId val="99426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94268288"/>
        <c:crosses val="autoZero"/>
        <c:crossBetween val="midCat"/>
      </c:valAx>
      <c:valAx>
        <c:axId val="9942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9426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Bank</a:t>
            </a:r>
            <a:r>
              <a:rPr lang="en-US" baseline="0"/>
              <a:t> Payoff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PPPN2!$H$15:$H$44</c:f>
              <c:numCache>
                <c:formatCode>General</c:formatCode>
                <c:ptCount val="30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105</c:v>
                </c:pt>
                <c:pt idx="4">
                  <c:v>110</c:v>
                </c:pt>
                <c:pt idx="5">
                  <c:v>115</c:v>
                </c:pt>
                <c:pt idx="6">
                  <c:v>115.005</c:v>
                </c:pt>
                <c:pt idx="7">
                  <c:v>115.005</c:v>
                </c:pt>
                <c:pt idx="8">
                  <c:v>116.005</c:v>
                </c:pt>
                <c:pt idx="9">
                  <c:v>117.005</c:v>
                </c:pt>
                <c:pt idx="10">
                  <c:v>118.005</c:v>
                </c:pt>
                <c:pt idx="11">
                  <c:v>119.005</c:v>
                </c:pt>
                <c:pt idx="12">
                  <c:v>120.005</c:v>
                </c:pt>
                <c:pt idx="13">
                  <c:v>121.005</c:v>
                </c:pt>
                <c:pt idx="14">
                  <c:v>122.005</c:v>
                </c:pt>
                <c:pt idx="15">
                  <c:v>133</c:v>
                </c:pt>
                <c:pt idx="16">
                  <c:v>133.9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</c:numCache>
            </c:numRef>
          </c:xVal>
          <c:yVal>
            <c:numRef>
              <c:f>PPPN2!$L$15:$L$44</c:f>
              <c:numCache>
                <c:formatCode>_-[$$-409]* #,##0.00_ ;_-[$$-409]* \-#,##0.00\ ;_-[$$-409]* "-"??_ ;_-@_ </c:formatCode>
                <c:ptCount val="30"/>
                <c:pt idx="0">
                  <c:v>384.91390711706447</c:v>
                </c:pt>
                <c:pt idx="1">
                  <c:v>384.91390711706447</c:v>
                </c:pt>
                <c:pt idx="2">
                  <c:v>384.91390711706447</c:v>
                </c:pt>
                <c:pt idx="3">
                  <c:v>384.91390711706447</c:v>
                </c:pt>
                <c:pt idx="4">
                  <c:v>384.91390711706447</c:v>
                </c:pt>
                <c:pt idx="5">
                  <c:v>384.91390711706447</c:v>
                </c:pt>
                <c:pt idx="6">
                  <c:v>384.91390711706447</c:v>
                </c:pt>
                <c:pt idx="7">
                  <c:v>384.91390711706447</c:v>
                </c:pt>
                <c:pt idx="8">
                  <c:v>384.91390711706447</c:v>
                </c:pt>
                <c:pt idx="9">
                  <c:v>384.91390711706447</c:v>
                </c:pt>
                <c:pt idx="10">
                  <c:v>384.91390711706447</c:v>
                </c:pt>
                <c:pt idx="11">
                  <c:v>384.91390711706447</c:v>
                </c:pt>
                <c:pt idx="12">
                  <c:v>185.66390711706447</c:v>
                </c:pt>
                <c:pt idx="13">
                  <c:v>335.66390711706447</c:v>
                </c:pt>
                <c:pt idx="14">
                  <c:v>485.66390711706447</c:v>
                </c:pt>
                <c:pt idx="15">
                  <c:v>1654.9139071170644</c:v>
                </c:pt>
                <c:pt idx="16">
                  <c:v>1645.9139071170644</c:v>
                </c:pt>
                <c:pt idx="17">
                  <c:v>1617.2859071170637</c:v>
                </c:pt>
                <c:pt idx="18">
                  <c:v>1495.2859071170637</c:v>
                </c:pt>
                <c:pt idx="19">
                  <c:v>1373.2859071170637</c:v>
                </c:pt>
                <c:pt idx="20">
                  <c:v>1251.2859071170637</c:v>
                </c:pt>
                <c:pt idx="21">
                  <c:v>1129.2859071170637</c:v>
                </c:pt>
                <c:pt idx="22">
                  <c:v>1007.2859071170639</c:v>
                </c:pt>
                <c:pt idx="23">
                  <c:v>885.28590711706386</c:v>
                </c:pt>
                <c:pt idx="24">
                  <c:v>763.28590711706386</c:v>
                </c:pt>
                <c:pt idx="25">
                  <c:v>641.28590711706386</c:v>
                </c:pt>
                <c:pt idx="26">
                  <c:v>519.28590711706386</c:v>
                </c:pt>
                <c:pt idx="27">
                  <c:v>397.28590711706386</c:v>
                </c:pt>
                <c:pt idx="28">
                  <c:v>275.28590711706386</c:v>
                </c:pt>
                <c:pt idx="29">
                  <c:v>153.28590711706386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D-4880-B74D-7BFC540E1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75728"/>
        <c:axId val="954672400"/>
      </c:scatterChart>
      <c:valAx>
        <c:axId val="95467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54672400"/>
        <c:crosses val="autoZero"/>
        <c:crossBetween val="midCat"/>
      </c:valAx>
      <c:valAx>
        <c:axId val="9546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95467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68037</xdr:colOff>
      <xdr:row>24</xdr:row>
      <xdr:rowOff>175080</xdr:rowOff>
    </xdr:from>
    <xdr:to>
      <xdr:col>8</xdr:col>
      <xdr:colOff>530680</xdr:colOff>
      <xdr:row>40</xdr:row>
      <xdr:rowOff>15423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BD691-CA0A-48A4-B90F-855B9E264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77108</xdr:colOff>
      <xdr:row>41</xdr:row>
      <xdr:rowOff>102506</xdr:rowOff>
    </xdr:from>
    <xdr:to>
      <xdr:col>8</xdr:col>
      <xdr:colOff>539751</xdr:colOff>
      <xdr:row>56</xdr:row>
      <xdr:rowOff>124277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26B989-7074-4D09-B410-0A05FE39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369455</xdr:colOff>
      <xdr:row>13</xdr:row>
      <xdr:rowOff>100444</xdr:rowOff>
    </xdr:from>
    <xdr:to>
      <xdr:col>21</xdr:col>
      <xdr:colOff>46182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A1D60-EA2B-4380-826B-B878671B3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346363</xdr:colOff>
      <xdr:row>29</xdr:row>
      <xdr:rowOff>169718</xdr:rowOff>
    </xdr:from>
    <xdr:to>
      <xdr:col>21</xdr:col>
      <xdr:colOff>23090</xdr:colOff>
      <xdr:row>44</xdr:row>
      <xdr:rowOff>130464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135C7-3402-4A6C-B15E-3644A71D9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11</xdr:col>
      <xdr:colOff>245110</xdr:colOff>
      <xdr:row>17</xdr:row>
      <xdr:rowOff>57785</xdr:rowOff>
    </xdr:to>
    <xdr:pic>
      <xdr:nvPicPr>
        <xdr:cNvPr id="3" name="Picture 2" descr="Graphical user interface, application, table&#10;&#10;Description automatically generated">
          <a:extLst>
            <a:ext uri="{FF2B5EF4-FFF2-40B4-BE49-F238E27FC236}">
              <a16:creationId xmlns:a16="http://schemas.microsoft.com/office/drawing/2014/main" id="{2966994F-5579-40FB-80E6-0E57463F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8300"/>
          <a:ext cx="5731510" cy="28200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245110</xdr:colOff>
      <xdr:row>25</xdr:row>
      <xdr:rowOff>168910</xdr:rowOff>
    </xdr:to>
    <xdr:pic>
      <xdr:nvPicPr>
        <xdr:cNvPr id="2" name="Picture 1" descr="Table&#10;&#10;Description automatically generated">
          <a:extLst>
            <a:ext uri="{FF2B5EF4-FFF2-40B4-BE49-F238E27FC236}">
              <a16:creationId xmlns:a16="http://schemas.microsoft.com/office/drawing/2014/main" id="{EE73FE12-97E5-4E76-82DC-522A75D5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5731510" cy="458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245110</xdr:colOff>
      <xdr:row>42</xdr:row>
      <xdr:rowOff>103505</xdr:rowOff>
    </xdr:to>
    <xdr:pic>
      <xdr:nvPicPr>
        <xdr:cNvPr id="3" name="Picture 2" descr="Table&#10;&#10;Description automatically generated">
          <a:extLst>
            <a:ext uri="{FF2B5EF4-FFF2-40B4-BE49-F238E27FC236}">
              <a16:creationId xmlns:a16="http://schemas.microsoft.com/office/drawing/2014/main" id="{73E11803-EBF9-42D3-A2C5-675B4CE13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72050"/>
          <a:ext cx="5731510" cy="28657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10</xdr:col>
      <xdr:colOff>270510</xdr:colOff>
      <xdr:row>27</xdr:row>
      <xdr:rowOff>24765</xdr:rowOff>
    </xdr:to>
    <xdr:pic>
      <xdr:nvPicPr>
        <xdr:cNvPr id="2" name="Picture 1" descr="Table&#10;&#10;Description automatically generated">
          <a:extLst>
            <a:ext uri="{FF2B5EF4-FFF2-40B4-BE49-F238E27FC236}">
              <a16:creationId xmlns:a16="http://schemas.microsoft.com/office/drawing/2014/main" id="{DE427B6D-6D2F-44BE-908C-857696B14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0"/>
          <a:ext cx="5731510" cy="499681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27</xdr:row>
      <xdr:rowOff>44450</xdr:rowOff>
    </xdr:from>
    <xdr:to>
      <xdr:col>10</xdr:col>
      <xdr:colOff>232410</xdr:colOff>
      <xdr:row>43</xdr:row>
      <xdr:rowOff>157480</xdr:rowOff>
    </xdr:to>
    <xdr:pic>
      <xdr:nvPicPr>
        <xdr:cNvPr id="3" name="Picture 2" descr="Table&#10;&#10;Description automatically generated">
          <a:extLst>
            <a:ext uri="{FF2B5EF4-FFF2-40B4-BE49-F238E27FC236}">
              <a16:creationId xmlns:a16="http://schemas.microsoft.com/office/drawing/2014/main" id="{9F477550-67B1-486A-A644-936713D4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900" y="5016500"/>
          <a:ext cx="5731510" cy="30594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165610</xdr:colOff>
      <xdr:row>29</xdr:row>
      <xdr:rowOff>178065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82FB4-2FF8-4139-960A-A6CAB351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8300"/>
          <a:ext cx="9919210" cy="51501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279401</xdr:colOff>
      <xdr:row>1</xdr:row>
      <xdr:rowOff>166012</xdr:rowOff>
    </xdr:from>
    <xdr:to>
      <xdr:col>13</xdr:col>
      <xdr:colOff>38101</xdr:colOff>
      <xdr:row>19</xdr:row>
      <xdr:rowOff>31947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7CFAB-874D-4C7A-A7A0-AA73A1DF4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1" y="350162"/>
          <a:ext cx="7073900" cy="3180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CE42-4A4A-4925-A0A0-B52279C5631E}">
  <dimension ref="A1:L67"/>
  <sheetViews>
    <sheetView zoomScale="40" zoomScaleNormal="40" workbookViewId="0">
      <selection activeCell="C13" sqref="C13"/>
    </sheetView>
  </sheetViews>
  <sheetFormatPr defaultRowHeight="14.5" x14ac:dyDescent="0.35"/>
  <cols>
    <col min="1" max="1" width="58.453125" customWidth="1"/>
    <col min="2" max="2" width="17.453125" customWidth="1"/>
    <col min="3" max="3" width="12.453125" customWidth="1"/>
    <col min="4" max="4" width="12.26953125" customWidth="1"/>
    <col min="5" max="5" width="18.90625" customWidth="1"/>
    <col min="6" max="6" width="15.6328125" customWidth="1"/>
    <col min="7" max="7" width="17.453125" bestFit="1" customWidth="1"/>
    <col min="8" max="8" width="41.36328125" bestFit="1" customWidth="1"/>
    <col min="9" max="9" width="15.6328125" customWidth="1"/>
    <col min="12" max="12" width="11.26953125" bestFit="1" customWidth="1"/>
  </cols>
  <sheetData>
    <row r="1" spans="1:9" x14ac:dyDescent="0.35">
      <c r="A1" s="48" t="s">
        <v>26</v>
      </c>
      <c r="B1" s="48"/>
      <c r="C1" s="48"/>
      <c r="D1" s="48"/>
      <c r="E1" s="48"/>
      <c r="F1" s="48"/>
      <c r="G1" s="48"/>
      <c r="H1" s="48"/>
    </row>
    <row r="2" spans="1:9" x14ac:dyDescent="0.35">
      <c r="A2" s="48"/>
      <c r="B2" s="48"/>
      <c r="C2" s="48"/>
      <c r="D2" s="48"/>
      <c r="E2" s="48"/>
      <c r="F2" s="48"/>
      <c r="G2" s="48"/>
      <c r="H2" s="48"/>
    </row>
    <row r="3" spans="1:9" x14ac:dyDescent="0.35">
      <c r="A3" s="3"/>
      <c r="D3" s="1"/>
      <c r="E3" s="1"/>
      <c r="F3" s="1"/>
      <c r="G3" s="1"/>
      <c r="H3" s="5" t="s">
        <v>23</v>
      </c>
    </row>
    <row r="4" spans="1:9" x14ac:dyDescent="0.35">
      <c r="A4" s="13" t="s">
        <v>0</v>
      </c>
      <c r="B4" s="8" t="s">
        <v>1</v>
      </c>
      <c r="C4" s="8">
        <v>10000</v>
      </c>
      <c r="D4" s="8"/>
      <c r="E4" s="1"/>
      <c r="F4" s="1"/>
      <c r="G4" s="1"/>
      <c r="H4" s="13" t="s">
        <v>16</v>
      </c>
      <c r="I4" s="11">
        <f>C14</f>
        <v>1065.3139071170644</v>
      </c>
    </row>
    <row r="5" spans="1:9" x14ac:dyDescent="0.35">
      <c r="A5" s="13" t="s">
        <v>2</v>
      </c>
      <c r="B5" s="8" t="s">
        <v>3</v>
      </c>
      <c r="C5" s="8">
        <v>121.73</v>
      </c>
      <c r="D5" s="8"/>
      <c r="E5" s="1"/>
      <c r="F5" s="1"/>
      <c r="G5" s="2"/>
      <c r="H5" s="13" t="s">
        <v>61</v>
      </c>
      <c r="I5" s="11">
        <f>D15</f>
        <v>82</v>
      </c>
    </row>
    <row r="6" spans="1:9" x14ac:dyDescent="0.35">
      <c r="A6" s="13" t="s">
        <v>4</v>
      </c>
      <c r="B6" s="8" t="s">
        <v>5</v>
      </c>
      <c r="C6" s="9">
        <v>44537</v>
      </c>
      <c r="D6" s="8"/>
      <c r="E6" s="1"/>
      <c r="F6" s="1"/>
      <c r="G6" s="1"/>
      <c r="H6" s="13" t="s">
        <v>24</v>
      </c>
      <c r="I6" s="11">
        <v>120</v>
      </c>
    </row>
    <row r="7" spans="1:9" x14ac:dyDescent="0.35">
      <c r="A7" s="13" t="s">
        <v>6</v>
      </c>
      <c r="B7" s="8" t="s">
        <v>7</v>
      </c>
      <c r="C7" s="9">
        <v>44946</v>
      </c>
      <c r="D7" s="8"/>
      <c r="E7" s="1"/>
      <c r="F7" s="1"/>
      <c r="G7" s="2"/>
      <c r="H7" s="13" t="s">
        <v>25</v>
      </c>
      <c r="I7" s="11">
        <v>12.6</v>
      </c>
    </row>
    <row r="8" spans="1:9" x14ac:dyDescent="0.35">
      <c r="A8" s="13" t="s">
        <v>8</v>
      </c>
      <c r="B8" s="8"/>
      <c r="C8" s="8">
        <f>_xlfn.DAYS(C7,C6)</f>
        <v>409</v>
      </c>
      <c r="D8" s="8"/>
      <c r="E8" s="1"/>
      <c r="F8" s="1"/>
      <c r="G8" s="1"/>
      <c r="H8" s="13" t="s">
        <v>17</v>
      </c>
      <c r="I8" s="11">
        <f>I5*I7</f>
        <v>1033.2</v>
      </c>
    </row>
    <row r="9" spans="1:9" x14ac:dyDescent="0.35">
      <c r="A9" s="13" t="s">
        <v>9</v>
      </c>
      <c r="B9" s="8" t="s">
        <v>10</v>
      </c>
      <c r="C9" s="10">
        <v>6.4999999999999997E-3</v>
      </c>
      <c r="D9" s="8"/>
      <c r="E9" s="1"/>
      <c r="F9" s="1"/>
      <c r="G9" s="2"/>
      <c r="H9" s="13" t="s">
        <v>28</v>
      </c>
      <c r="I9" s="11">
        <f>I4-I8</f>
        <v>32.1139071170644</v>
      </c>
    </row>
    <row r="10" spans="1:9" x14ac:dyDescent="0.35">
      <c r="A10" s="13"/>
      <c r="B10" s="8"/>
      <c r="C10" s="8"/>
      <c r="D10" s="8"/>
      <c r="E10" s="1"/>
      <c r="F10" s="1"/>
      <c r="G10" s="1"/>
      <c r="H10" s="13"/>
      <c r="I10" s="11"/>
    </row>
    <row r="11" spans="1:9" ht="26.5" x14ac:dyDescent="0.35">
      <c r="A11" s="13" t="s">
        <v>11</v>
      </c>
      <c r="B11" s="8"/>
      <c r="C11" s="8">
        <v>0.9</v>
      </c>
      <c r="D11" s="8">
        <f>(C11*C4)</f>
        <v>9000</v>
      </c>
      <c r="E11" s="1"/>
      <c r="F11" s="1"/>
      <c r="G11" s="2"/>
      <c r="H11" s="49"/>
      <c r="I11" s="49"/>
    </row>
    <row r="12" spans="1:9" x14ac:dyDescent="0.35">
      <c r="A12" s="13" t="s">
        <v>12</v>
      </c>
      <c r="B12" s="8"/>
      <c r="C12" s="8">
        <f>1/EXP(C9*(C8/365))</f>
        <v>0.9927428992092151</v>
      </c>
      <c r="D12" s="8"/>
      <c r="E12" s="1"/>
      <c r="F12" s="1"/>
      <c r="G12" s="1"/>
      <c r="H12" s="49"/>
      <c r="I12" s="49"/>
    </row>
    <row r="13" spans="1:9" ht="26.5" x14ac:dyDescent="0.35">
      <c r="A13" s="13" t="s">
        <v>13</v>
      </c>
      <c r="B13" s="8"/>
      <c r="C13" s="8">
        <f>(D11*C12)</f>
        <v>8934.6860928829356</v>
      </c>
      <c r="D13" s="8"/>
      <c r="E13" s="1"/>
      <c r="F13" s="1"/>
      <c r="G13" s="2"/>
      <c r="H13" s="49"/>
      <c r="I13" s="49"/>
    </row>
    <row r="14" spans="1:9" x14ac:dyDescent="0.35">
      <c r="A14" s="13" t="s">
        <v>14</v>
      </c>
      <c r="B14" s="8"/>
      <c r="C14" s="8">
        <f>(C4-C13)</f>
        <v>1065.3139071170644</v>
      </c>
      <c r="D14" s="8"/>
      <c r="E14" s="1"/>
      <c r="F14" s="1"/>
      <c r="G14" s="1"/>
      <c r="H14" s="13" t="s">
        <v>21</v>
      </c>
      <c r="I14" s="12">
        <f>I9-I13</f>
        <v>32.1139071170644</v>
      </c>
    </row>
    <row r="15" spans="1:9" x14ac:dyDescent="0.35">
      <c r="A15" s="13" t="s">
        <v>62</v>
      </c>
      <c r="B15" s="8"/>
      <c r="C15" s="8">
        <f>(C4/C5)</f>
        <v>82.149018319231089</v>
      </c>
      <c r="D15" s="8">
        <f>ROUND(C15,0)</f>
        <v>82</v>
      </c>
      <c r="E15" s="1"/>
      <c r="F15" s="1"/>
      <c r="G15" s="2"/>
      <c r="H15" s="13" t="s">
        <v>22</v>
      </c>
      <c r="I15" s="8">
        <f>I14/C14</f>
        <v>3.0145018198411158E-2</v>
      </c>
    </row>
    <row r="16" spans="1:9" x14ac:dyDescent="0.35">
      <c r="A16" s="13" t="s">
        <v>15</v>
      </c>
      <c r="B16" s="8"/>
      <c r="C16" s="8"/>
      <c r="D16" s="8">
        <f>ROUND(C14/(D15),3)</f>
        <v>12.992000000000001</v>
      </c>
      <c r="E16" s="1"/>
      <c r="F16" s="1"/>
      <c r="G16" s="1"/>
    </row>
    <row r="17" spans="1:12" x14ac:dyDescent="0.35">
      <c r="A17" s="13"/>
      <c r="B17" s="11"/>
      <c r="C17" s="11"/>
      <c r="D17" s="8"/>
      <c r="E17" s="1"/>
      <c r="F17" s="1"/>
      <c r="G17" s="1"/>
    </row>
    <row r="18" spans="1:12" x14ac:dyDescent="0.35">
      <c r="A18" s="7"/>
      <c r="D18" s="1"/>
      <c r="E18" s="1"/>
      <c r="F18" s="1"/>
      <c r="G18" s="1"/>
    </row>
    <row r="19" spans="1:12" x14ac:dyDescent="0.35">
      <c r="A19" s="3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5">
      <c r="A20" s="1"/>
      <c r="B20" s="1"/>
      <c r="C20" s="1"/>
      <c r="D20" s="1"/>
      <c r="E20" s="1"/>
      <c r="F20" s="1"/>
      <c r="G20" s="1"/>
    </row>
    <row r="21" spans="1:12" x14ac:dyDescent="0.35">
      <c r="A21" s="2"/>
      <c r="B21" s="1"/>
      <c r="C21" s="1"/>
      <c r="D21" s="1"/>
      <c r="E21" s="1"/>
      <c r="F21" s="1"/>
      <c r="G21" s="2"/>
    </row>
    <row r="22" spans="1:12" ht="29" x14ac:dyDescent="0.35">
      <c r="A22" s="4" t="s">
        <v>18</v>
      </c>
      <c r="B22" s="5" t="s">
        <v>19</v>
      </c>
      <c r="C22" s="5" t="s">
        <v>20</v>
      </c>
      <c r="D22" s="6" t="s">
        <v>29</v>
      </c>
      <c r="E22" s="6" t="s">
        <v>30</v>
      </c>
      <c r="F22" s="1"/>
      <c r="G22" s="2"/>
    </row>
    <row r="23" spans="1:12" x14ac:dyDescent="0.35">
      <c r="A23" s="3">
        <v>10</v>
      </c>
      <c r="B23">
        <f t="shared" ref="B23:B30" si="0">$D$15*(MAX(A23-$C$5,0))</f>
        <v>0</v>
      </c>
      <c r="C23">
        <f t="shared" ref="C23:C50" si="1">$D$11+B23</f>
        <v>9000</v>
      </c>
      <c r="D23" s="1">
        <f>IF(A23&lt;=121.73,9000,9000+0.99*$D$15*MAX(A23-$C$5,0))</f>
        <v>9000</v>
      </c>
      <c r="E23" s="2">
        <f>$I$14+C23-D23</f>
        <v>32.113907117063718</v>
      </c>
      <c r="F23" s="1"/>
      <c r="G23" s="1"/>
    </row>
    <row r="24" spans="1:12" x14ac:dyDescent="0.35">
      <c r="A24" s="3">
        <f>A23+20</f>
        <v>30</v>
      </c>
      <c r="B24">
        <f t="shared" si="0"/>
        <v>0</v>
      </c>
      <c r="C24">
        <f t="shared" si="1"/>
        <v>9000</v>
      </c>
      <c r="D24" s="1">
        <f t="shared" ref="D24:D50" si="2">IF(A24&lt;=121.73,9000,9000+0.99*$D$15*MAX(A24-$C$5,0))</f>
        <v>9000</v>
      </c>
      <c r="E24" s="2">
        <f t="shared" ref="E24:E50" si="3">$I$14+C24-D24</f>
        <v>32.113907117063718</v>
      </c>
      <c r="F24" s="1"/>
      <c r="G24" s="1"/>
    </row>
    <row r="25" spans="1:12" x14ac:dyDescent="0.35">
      <c r="A25" s="3">
        <f>A24+20</f>
        <v>50</v>
      </c>
      <c r="B25">
        <f t="shared" si="0"/>
        <v>0</v>
      </c>
      <c r="C25">
        <f t="shared" si="1"/>
        <v>9000</v>
      </c>
      <c r="D25" s="1">
        <f t="shared" si="2"/>
        <v>9000</v>
      </c>
      <c r="E25" s="2">
        <f t="shared" si="3"/>
        <v>32.113907117063718</v>
      </c>
      <c r="F25" s="1"/>
      <c r="G25" s="1"/>
    </row>
    <row r="26" spans="1:12" x14ac:dyDescent="0.35">
      <c r="A26" s="3">
        <f t="shared" ref="A26:A50" si="4">A25+20</f>
        <v>70</v>
      </c>
      <c r="B26">
        <f t="shared" si="0"/>
        <v>0</v>
      </c>
      <c r="C26">
        <f t="shared" si="1"/>
        <v>9000</v>
      </c>
      <c r="D26" s="1">
        <f t="shared" si="2"/>
        <v>9000</v>
      </c>
      <c r="E26" s="2">
        <f t="shared" si="3"/>
        <v>32.113907117063718</v>
      </c>
      <c r="F26" s="1"/>
      <c r="G26" s="1"/>
    </row>
    <row r="27" spans="1:12" x14ac:dyDescent="0.35">
      <c r="A27" s="3">
        <v>95</v>
      </c>
      <c r="B27">
        <f t="shared" si="0"/>
        <v>0</v>
      </c>
      <c r="C27">
        <f t="shared" si="1"/>
        <v>9000</v>
      </c>
      <c r="D27" s="1">
        <f t="shared" si="2"/>
        <v>9000</v>
      </c>
      <c r="E27" s="2">
        <f t="shared" si="3"/>
        <v>32.113907117063718</v>
      </c>
      <c r="F27" s="1"/>
      <c r="G27" s="1"/>
    </row>
    <row r="28" spans="1:12" x14ac:dyDescent="0.35">
      <c r="A28" s="3">
        <f>A27+20</f>
        <v>115</v>
      </c>
      <c r="B28">
        <f t="shared" si="0"/>
        <v>0</v>
      </c>
      <c r="C28">
        <f t="shared" si="1"/>
        <v>9000</v>
      </c>
      <c r="D28" s="1">
        <f t="shared" si="2"/>
        <v>9000</v>
      </c>
      <c r="E28" s="2">
        <f t="shared" si="3"/>
        <v>32.113907117063718</v>
      </c>
      <c r="F28" s="1"/>
      <c r="G28" s="1"/>
    </row>
    <row r="29" spans="1:12" x14ac:dyDescent="0.35">
      <c r="A29" s="3">
        <v>120</v>
      </c>
      <c r="B29">
        <f t="shared" si="0"/>
        <v>0</v>
      </c>
      <c r="C29">
        <f t="shared" si="1"/>
        <v>9000</v>
      </c>
      <c r="D29" s="1">
        <f t="shared" si="2"/>
        <v>9000</v>
      </c>
      <c r="E29" s="2">
        <f t="shared" si="3"/>
        <v>32.113907117063718</v>
      </c>
      <c r="F29" s="1"/>
      <c r="G29" s="1"/>
    </row>
    <row r="30" spans="1:12" x14ac:dyDescent="0.35">
      <c r="A30" s="13">
        <v>121.73</v>
      </c>
      <c r="B30">
        <f t="shared" si="0"/>
        <v>0</v>
      </c>
      <c r="C30">
        <f t="shared" si="1"/>
        <v>9000</v>
      </c>
      <c r="D30" s="1">
        <f t="shared" si="2"/>
        <v>9000</v>
      </c>
      <c r="E30" s="2">
        <f t="shared" si="3"/>
        <v>32.113907117063718</v>
      </c>
      <c r="F30" s="1"/>
      <c r="G30" s="1"/>
    </row>
    <row r="31" spans="1:12" x14ac:dyDescent="0.35">
      <c r="A31" s="3">
        <v>125</v>
      </c>
      <c r="B31">
        <f>$D$15*(MAX(A31-$C$5,0))</f>
        <v>268.13999999999965</v>
      </c>
      <c r="C31">
        <f t="shared" si="1"/>
        <v>9268.14</v>
      </c>
      <c r="D31" s="1">
        <f t="shared" si="2"/>
        <v>9265.4585999999999</v>
      </c>
      <c r="E31" s="2">
        <f t="shared" si="3"/>
        <v>34.795307117063203</v>
      </c>
      <c r="F31" s="1"/>
      <c r="G31" s="1"/>
    </row>
    <row r="32" spans="1:12" x14ac:dyDescent="0.35">
      <c r="A32" s="3">
        <f t="shared" si="4"/>
        <v>145</v>
      </c>
      <c r="B32">
        <f t="shared" ref="B32:B50" si="5">$D$15*(MAX(A32-$C$5,0))</f>
        <v>1908.1399999999996</v>
      </c>
      <c r="C32">
        <f t="shared" si="1"/>
        <v>10908.14</v>
      </c>
      <c r="D32" s="1">
        <f t="shared" si="2"/>
        <v>10889.0586</v>
      </c>
      <c r="E32" s="2">
        <f t="shared" si="3"/>
        <v>51.195307117062839</v>
      </c>
      <c r="F32" s="1"/>
      <c r="G32" s="1"/>
    </row>
    <row r="33" spans="1:7" x14ac:dyDescent="0.35">
      <c r="A33" s="3">
        <f t="shared" si="4"/>
        <v>165</v>
      </c>
      <c r="B33">
        <f t="shared" si="5"/>
        <v>3548.14</v>
      </c>
      <c r="C33">
        <f t="shared" si="1"/>
        <v>12548.14</v>
      </c>
      <c r="D33" s="1">
        <f t="shared" si="2"/>
        <v>12512.658599999999</v>
      </c>
      <c r="E33" s="2">
        <f t="shared" si="3"/>
        <v>67.595307117064294</v>
      </c>
      <c r="F33" s="1"/>
      <c r="G33" s="1"/>
    </row>
    <row r="34" spans="1:7" x14ac:dyDescent="0.35">
      <c r="A34" s="3">
        <f t="shared" si="4"/>
        <v>185</v>
      </c>
      <c r="B34">
        <f t="shared" si="5"/>
        <v>5188.1399999999994</v>
      </c>
      <c r="C34">
        <f t="shared" si="1"/>
        <v>14188.14</v>
      </c>
      <c r="D34" s="1">
        <f t="shared" si="2"/>
        <v>14136.258599999999</v>
      </c>
      <c r="E34" s="2">
        <f t="shared" si="3"/>
        <v>83.99530711706393</v>
      </c>
      <c r="F34" s="1"/>
      <c r="G34" s="1"/>
    </row>
    <row r="35" spans="1:7" x14ac:dyDescent="0.35">
      <c r="A35" s="3">
        <f t="shared" si="4"/>
        <v>205</v>
      </c>
      <c r="B35">
        <f t="shared" si="5"/>
        <v>6828.1399999999994</v>
      </c>
      <c r="C35">
        <f t="shared" si="1"/>
        <v>15828.14</v>
      </c>
      <c r="D35" s="1">
        <f t="shared" si="2"/>
        <v>15759.8586</v>
      </c>
      <c r="E35" s="2">
        <f t="shared" si="3"/>
        <v>100.39530711706357</v>
      </c>
      <c r="F35" s="1"/>
      <c r="G35" s="1"/>
    </row>
    <row r="36" spans="1:7" x14ac:dyDescent="0.35">
      <c r="A36" s="3">
        <f t="shared" si="4"/>
        <v>225</v>
      </c>
      <c r="B36">
        <f t="shared" si="5"/>
        <v>8468.14</v>
      </c>
      <c r="C36">
        <f t="shared" si="1"/>
        <v>17468.14</v>
      </c>
      <c r="D36" s="1">
        <f t="shared" si="2"/>
        <v>17383.458599999998</v>
      </c>
      <c r="E36" s="2">
        <f t="shared" si="3"/>
        <v>116.79530711706684</v>
      </c>
      <c r="F36" s="1"/>
      <c r="G36" s="1"/>
    </row>
    <row r="37" spans="1:7" x14ac:dyDescent="0.35">
      <c r="A37" s="3">
        <f t="shared" si="4"/>
        <v>245</v>
      </c>
      <c r="B37">
        <f t="shared" si="5"/>
        <v>10108.14</v>
      </c>
      <c r="C37">
        <f t="shared" si="1"/>
        <v>19108.14</v>
      </c>
      <c r="D37" s="1">
        <f t="shared" si="2"/>
        <v>19007.058599999997</v>
      </c>
      <c r="E37" s="2">
        <f t="shared" si="3"/>
        <v>133.1953071170683</v>
      </c>
      <c r="F37" s="1"/>
      <c r="G37" s="1"/>
    </row>
    <row r="38" spans="1:7" x14ac:dyDescent="0.35">
      <c r="A38" s="3">
        <f t="shared" si="4"/>
        <v>265</v>
      </c>
      <c r="B38">
        <f t="shared" si="5"/>
        <v>11748.14</v>
      </c>
      <c r="C38">
        <f t="shared" si="1"/>
        <v>20748.14</v>
      </c>
      <c r="D38" s="1">
        <f t="shared" si="2"/>
        <v>20630.658599999995</v>
      </c>
      <c r="E38" s="2">
        <f t="shared" si="3"/>
        <v>149.59530711706975</v>
      </c>
      <c r="F38" s="1"/>
      <c r="G38" s="1"/>
    </row>
    <row r="39" spans="1:7" x14ac:dyDescent="0.35">
      <c r="A39" s="3">
        <f t="shared" si="4"/>
        <v>285</v>
      </c>
      <c r="B39">
        <f t="shared" si="5"/>
        <v>13388.14</v>
      </c>
      <c r="C39">
        <f t="shared" si="1"/>
        <v>22388.14</v>
      </c>
      <c r="D39" s="1">
        <f t="shared" si="2"/>
        <v>22254.258599999997</v>
      </c>
      <c r="E39" s="2">
        <f t="shared" si="3"/>
        <v>165.99530711706757</v>
      </c>
      <c r="F39" s="1"/>
      <c r="G39" s="1"/>
    </row>
    <row r="40" spans="1:7" x14ac:dyDescent="0.35">
      <c r="A40" s="3">
        <f t="shared" si="4"/>
        <v>305</v>
      </c>
      <c r="B40">
        <f t="shared" si="5"/>
        <v>15028.14</v>
      </c>
      <c r="C40">
        <f t="shared" si="1"/>
        <v>24028.14</v>
      </c>
      <c r="D40" s="1">
        <f t="shared" si="2"/>
        <v>23877.8586</v>
      </c>
      <c r="E40" s="2">
        <f t="shared" si="3"/>
        <v>182.39530711706539</v>
      </c>
      <c r="F40" s="1"/>
      <c r="G40" s="1"/>
    </row>
    <row r="41" spans="1:7" x14ac:dyDescent="0.35">
      <c r="A41" s="3">
        <f t="shared" si="4"/>
        <v>325</v>
      </c>
      <c r="B41">
        <f t="shared" si="5"/>
        <v>16668.14</v>
      </c>
      <c r="C41">
        <f t="shared" si="1"/>
        <v>25668.14</v>
      </c>
      <c r="D41" s="1">
        <f t="shared" si="2"/>
        <v>25501.458599999998</v>
      </c>
      <c r="E41" s="2">
        <f t="shared" si="3"/>
        <v>198.79530711706684</v>
      </c>
      <c r="F41" s="1"/>
      <c r="G41" s="1"/>
    </row>
    <row r="42" spans="1:7" x14ac:dyDescent="0.35">
      <c r="A42" s="3">
        <f t="shared" si="4"/>
        <v>345</v>
      </c>
      <c r="B42">
        <f t="shared" si="5"/>
        <v>18308.14</v>
      </c>
      <c r="C42">
        <f t="shared" si="1"/>
        <v>27308.14</v>
      </c>
      <c r="D42" s="1">
        <f t="shared" si="2"/>
        <v>27125.058599999997</v>
      </c>
      <c r="E42" s="2">
        <f t="shared" si="3"/>
        <v>215.1953071170683</v>
      </c>
      <c r="F42" s="1"/>
      <c r="G42" s="1"/>
    </row>
    <row r="43" spans="1:7" x14ac:dyDescent="0.35">
      <c r="A43" s="3">
        <f t="shared" si="4"/>
        <v>365</v>
      </c>
      <c r="B43">
        <f t="shared" si="5"/>
        <v>19948.14</v>
      </c>
      <c r="C43">
        <f t="shared" si="1"/>
        <v>28948.14</v>
      </c>
      <c r="D43" s="1">
        <f t="shared" si="2"/>
        <v>28748.658599999995</v>
      </c>
      <c r="E43" s="2">
        <f t="shared" si="3"/>
        <v>231.59530711706975</v>
      </c>
      <c r="F43" s="1"/>
      <c r="G43" s="1"/>
    </row>
    <row r="44" spans="1:7" x14ac:dyDescent="0.35">
      <c r="A44" s="3">
        <f t="shared" si="4"/>
        <v>385</v>
      </c>
      <c r="B44">
        <f t="shared" si="5"/>
        <v>21588.14</v>
      </c>
      <c r="C44">
        <f t="shared" si="1"/>
        <v>30588.14</v>
      </c>
      <c r="D44" s="1">
        <f t="shared" si="2"/>
        <v>30372.258599999997</v>
      </c>
      <c r="E44" s="2">
        <f t="shared" si="3"/>
        <v>247.99530711706757</v>
      </c>
      <c r="F44" s="1"/>
      <c r="G44" s="1"/>
    </row>
    <row r="45" spans="1:7" x14ac:dyDescent="0.35">
      <c r="A45" s="3">
        <f t="shared" si="4"/>
        <v>405</v>
      </c>
      <c r="B45">
        <f t="shared" si="5"/>
        <v>23228.14</v>
      </c>
      <c r="C45">
        <f t="shared" si="1"/>
        <v>32228.14</v>
      </c>
      <c r="D45" s="1">
        <f t="shared" si="2"/>
        <v>31995.858599999996</v>
      </c>
      <c r="E45" s="2">
        <f t="shared" si="3"/>
        <v>264.39530711706902</v>
      </c>
      <c r="F45" s="1"/>
      <c r="G45" s="1"/>
    </row>
    <row r="46" spans="1:7" x14ac:dyDescent="0.35">
      <c r="A46" s="3">
        <f t="shared" si="4"/>
        <v>425</v>
      </c>
      <c r="B46">
        <f t="shared" si="5"/>
        <v>24868.14</v>
      </c>
      <c r="C46">
        <f t="shared" si="1"/>
        <v>33868.14</v>
      </c>
      <c r="D46" s="1">
        <f t="shared" si="2"/>
        <v>33619.458599999998</v>
      </c>
      <c r="E46" s="2">
        <f t="shared" si="3"/>
        <v>280.7953071170632</v>
      </c>
      <c r="F46" s="1"/>
      <c r="G46" s="1"/>
    </row>
    <row r="47" spans="1:7" x14ac:dyDescent="0.35">
      <c r="A47" s="3">
        <f t="shared" si="4"/>
        <v>445</v>
      </c>
      <c r="B47">
        <f t="shared" si="5"/>
        <v>26508.14</v>
      </c>
      <c r="C47">
        <f t="shared" si="1"/>
        <v>35508.14</v>
      </c>
      <c r="D47" s="1">
        <f t="shared" si="2"/>
        <v>35243.058599999997</v>
      </c>
      <c r="E47" s="2">
        <f t="shared" si="3"/>
        <v>297.19530711706466</v>
      </c>
      <c r="F47" s="1"/>
      <c r="G47" s="1"/>
    </row>
    <row r="48" spans="1:7" x14ac:dyDescent="0.35">
      <c r="A48" s="3">
        <f t="shared" si="4"/>
        <v>465</v>
      </c>
      <c r="B48">
        <f t="shared" si="5"/>
        <v>28148.14</v>
      </c>
      <c r="C48">
        <f t="shared" si="1"/>
        <v>37148.14</v>
      </c>
      <c r="D48" s="1">
        <f t="shared" si="2"/>
        <v>36866.658599999995</v>
      </c>
      <c r="E48" s="2">
        <f t="shared" si="3"/>
        <v>313.59530711706611</v>
      </c>
      <c r="F48" s="1"/>
      <c r="G48" s="1"/>
    </row>
    <row r="49" spans="1:7" x14ac:dyDescent="0.35">
      <c r="A49" s="3">
        <f t="shared" si="4"/>
        <v>485</v>
      </c>
      <c r="B49">
        <f t="shared" si="5"/>
        <v>29788.14</v>
      </c>
      <c r="C49">
        <f t="shared" si="1"/>
        <v>38788.14</v>
      </c>
      <c r="D49" s="1">
        <f t="shared" si="2"/>
        <v>38490.258600000001</v>
      </c>
      <c r="E49" s="2">
        <f t="shared" si="3"/>
        <v>329.99530711706029</v>
      </c>
      <c r="F49" s="1"/>
      <c r="G49" s="1"/>
    </row>
    <row r="50" spans="1:7" x14ac:dyDescent="0.35">
      <c r="A50" s="3">
        <f t="shared" si="4"/>
        <v>505</v>
      </c>
      <c r="B50">
        <f t="shared" si="5"/>
        <v>31428.14</v>
      </c>
      <c r="C50">
        <f t="shared" si="1"/>
        <v>40428.14</v>
      </c>
      <c r="D50" s="1">
        <f t="shared" si="2"/>
        <v>40113.858599999992</v>
      </c>
      <c r="E50" s="2">
        <f t="shared" si="3"/>
        <v>346.39530711706902</v>
      </c>
      <c r="F50" s="1"/>
      <c r="G50" s="1"/>
    </row>
    <row r="51" spans="1:7" x14ac:dyDescent="0.35">
      <c r="A51" s="3"/>
      <c r="D51" s="1"/>
      <c r="E51" s="1"/>
      <c r="F51" s="1"/>
      <c r="G51" s="1"/>
    </row>
    <row r="52" spans="1:7" x14ac:dyDescent="0.35">
      <c r="A52" s="3"/>
      <c r="D52" s="1"/>
      <c r="E52" s="1"/>
      <c r="F52" s="1"/>
      <c r="G52" s="1"/>
    </row>
    <row r="53" spans="1:7" x14ac:dyDescent="0.35">
      <c r="A53" s="3"/>
      <c r="D53" s="1"/>
      <c r="E53" s="1"/>
      <c r="F53" s="1"/>
      <c r="G53" s="1"/>
    </row>
    <row r="54" spans="1:7" x14ac:dyDescent="0.35">
      <c r="A54" s="3"/>
      <c r="D54" s="1"/>
      <c r="E54" s="1"/>
      <c r="F54" s="1"/>
      <c r="G54" s="1"/>
    </row>
    <row r="55" spans="1:7" x14ac:dyDescent="0.35">
      <c r="A55" s="3"/>
      <c r="D55" s="1"/>
      <c r="E55" s="1"/>
      <c r="F55" s="1"/>
      <c r="G55" s="1"/>
    </row>
    <row r="56" spans="1:7" x14ac:dyDescent="0.35">
      <c r="A56" s="3"/>
      <c r="D56" s="1"/>
      <c r="E56" s="1"/>
      <c r="F56" s="1"/>
      <c r="G56" s="1"/>
    </row>
    <row r="57" spans="1:7" x14ac:dyDescent="0.35">
      <c r="A57" s="3"/>
      <c r="D57" s="1"/>
      <c r="E57" s="1"/>
      <c r="F57" s="1"/>
      <c r="G57" s="1"/>
    </row>
    <row r="58" spans="1:7" x14ac:dyDescent="0.35">
      <c r="A58" s="3"/>
      <c r="D58" s="1"/>
      <c r="E58" s="1"/>
      <c r="F58" s="1"/>
      <c r="G58" s="1"/>
    </row>
    <row r="59" spans="1:7" x14ac:dyDescent="0.35">
      <c r="A59" s="3"/>
      <c r="D59" s="1"/>
      <c r="E59" s="1"/>
      <c r="F59" s="1"/>
      <c r="G59" s="1"/>
    </row>
    <row r="60" spans="1:7" x14ac:dyDescent="0.35">
      <c r="A60" s="3"/>
      <c r="D60" s="1"/>
      <c r="E60" s="1"/>
      <c r="F60" s="1"/>
      <c r="G60" s="1"/>
    </row>
    <row r="61" spans="1:7" x14ac:dyDescent="0.35">
      <c r="A61" s="3"/>
      <c r="D61" s="1"/>
      <c r="E61" s="1"/>
      <c r="F61" s="1"/>
      <c r="G61" s="1"/>
    </row>
    <row r="62" spans="1:7" x14ac:dyDescent="0.35">
      <c r="A62" s="3"/>
      <c r="D62" s="1"/>
      <c r="E62" s="1"/>
      <c r="F62" s="1"/>
      <c r="G62" s="1"/>
    </row>
    <row r="63" spans="1:7" x14ac:dyDescent="0.35">
      <c r="A63" s="3"/>
      <c r="D63" s="1"/>
      <c r="E63" s="1"/>
      <c r="F63" s="1"/>
      <c r="G63" s="1"/>
    </row>
    <row r="64" spans="1:7" x14ac:dyDescent="0.35">
      <c r="A64" s="3"/>
      <c r="D64" s="1"/>
      <c r="E64" s="1"/>
      <c r="F64" s="1"/>
      <c r="G64" s="1"/>
    </row>
    <row r="65" spans="1:7" x14ac:dyDescent="0.35">
      <c r="A65" s="3"/>
      <c r="D65" s="1"/>
      <c r="E65" s="1"/>
      <c r="F65" s="1"/>
      <c r="G65" s="1"/>
    </row>
    <row r="66" spans="1:7" x14ac:dyDescent="0.35">
      <c r="A66" s="3"/>
      <c r="D66" s="1"/>
      <c r="E66" s="1"/>
      <c r="F66" s="1"/>
      <c r="G66" s="1"/>
    </row>
    <row r="67" spans="1:7" x14ac:dyDescent="0.35">
      <c r="A67" s="3"/>
      <c r="D67" s="1"/>
      <c r="E67" s="1"/>
      <c r="F67" s="1"/>
      <c r="G67" s="1"/>
    </row>
  </sheetData>
  <mergeCells count="1">
    <mergeCell ref="A1:H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8D375-9BE3-4584-9F15-4023599859AA}">
  <dimension ref="A1:L61"/>
  <sheetViews>
    <sheetView tabSelected="1" zoomScale="55" zoomScaleNormal="55" workbookViewId="0">
      <selection activeCell="H8" sqref="H8"/>
    </sheetView>
  </sheetViews>
  <sheetFormatPr defaultRowHeight="14.5" x14ac:dyDescent="0.35"/>
  <cols>
    <col min="1" max="1" width="32.81640625" customWidth="1"/>
    <col min="2" max="2" width="16.453125" customWidth="1"/>
    <col min="4" max="4" width="12" customWidth="1"/>
    <col min="8" max="8" width="45.08984375" bestFit="1" customWidth="1"/>
    <col min="10" max="10" width="14.36328125" customWidth="1"/>
    <col min="11" max="11" width="12.90625" customWidth="1"/>
    <col min="12" max="12" width="17.54296875" customWidth="1"/>
  </cols>
  <sheetData>
    <row r="1" spans="1:12" ht="18.5" x14ac:dyDescent="0.45">
      <c r="A1" s="15" t="s">
        <v>31</v>
      </c>
      <c r="F1" s="50" t="s">
        <v>63</v>
      </c>
      <c r="G1" s="50"/>
      <c r="H1" s="50"/>
      <c r="I1" s="50"/>
      <c r="J1" s="50"/>
    </row>
    <row r="2" spans="1:12" x14ac:dyDescent="0.35">
      <c r="A2" s="5" t="s">
        <v>32</v>
      </c>
      <c r="B2" s="16">
        <v>44537</v>
      </c>
    </row>
    <row r="3" spans="1:12" x14ac:dyDescent="0.35">
      <c r="A3" s="5" t="s">
        <v>33</v>
      </c>
      <c r="B3" s="16">
        <v>44946</v>
      </c>
    </row>
    <row r="4" spans="1:12" x14ac:dyDescent="0.35">
      <c r="A4" s="5" t="s">
        <v>34</v>
      </c>
      <c r="B4" s="17">
        <v>10000</v>
      </c>
    </row>
    <row r="5" spans="1:12" x14ac:dyDescent="0.35">
      <c r="A5" s="5" t="s">
        <v>35</v>
      </c>
      <c r="B5" s="18">
        <v>121.73</v>
      </c>
    </row>
    <row r="6" spans="1:12" ht="15.5" x14ac:dyDescent="0.35">
      <c r="A6" s="5" t="s">
        <v>36</v>
      </c>
      <c r="B6" s="19">
        <v>6.4999999999999997E-3</v>
      </c>
      <c r="C6" s="20" t="s">
        <v>58</v>
      </c>
    </row>
    <row r="7" spans="1:12" ht="29" x14ac:dyDescent="0.35">
      <c r="A7" s="47" t="s">
        <v>37</v>
      </c>
      <c r="B7" s="21">
        <v>0.9</v>
      </c>
    </row>
    <row r="8" spans="1:12" x14ac:dyDescent="0.35">
      <c r="A8" s="22"/>
      <c r="B8" s="23"/>
    </row>
    <row r="9" spans="1:12" ht="18.5" x14ac:dyDescent="0.45">
      <c r="A9" s="24" t="s">
        <v>38</v>
      </c>
      <c r="B9" s="23"/>
    </row>
    <row r="10" spans="1:12" ht="15.5" x14ac:dyDescent="0.35">
      <c r="A10" s="5" t="s">
        <v>39</v>
      </c>
      <c r="B10" s="25">
        <f>B7*B4</f>
        <v>9000</v>
      </c>
      <c r="C10" s="20" t="s">
        <v>60</v>
      </c>
    </row>
    <row r="11" spans="1:12" x14ac:dyDescent="0.35">
      <c r="A11" s="5" t="s">
        <v>40</v>
      </c>
      <c r="B11">
        <f>_xlfn.DAYS(B3,B2)</f>
        <v>409</v>
      </c>
    </row>
    <row r="12" spans="1:12" x14ac:dyDescent="0.35">
      <c r="A12" s="5" t="s">
        <v>27</v>
      </c>
      <c r="B12" s="26">
        <f>1/EXP(B11*B6/365)</f>
        <v>0.9927428992092151</v>
      </c>
    </row>
    <row r="13" spans="1:12" ht="44" thickBot="1" x14ac:dyDescent="0.4">
      <c r="A13" s="47" t="s">
        <v>41</v>
      </c>
      <c r="B13" s="27">
        <f>B10*B12</f>
        <v>8934.6860928829356</v>
      </c>
      <c r="C13" s="28" t="s">
        <v>59</v>
      </c>
    </row>
    <row r="14" spans="1:12" ht="15" thickBot="1" x14ac:dyDescent="0.4">
      <c r="A14" s="5" t="s">
        <v>28</v>
      </c>
      <c r="B14" s="29">
        <f>B4-B13</f>
        <v>1065.3139071170644</v>
      </c>
      <c r="H14" s="44" t="s">
        <v>42</v>
      </c>
      <c r="I14" s="45" t="s">
        <v>19</v>
      </c>
      <c r="J14" s="45" t="s">
        <v>43</v>
      </c>
      <c r="K14" s="45" t="s">
        <v>29</v>
      </c>
      <c r="L14" s="46" t="s">
        <v>44</v>
      </c>
    </row>
    <row r="15" spans="1:12" x14ac:dyDescent="0.35">
      <c r="H15" s="35">
        <v>0</v>
      </c>
      <c r="I15" s="32">
        <f t="shared" ref="I15:I16" si="0">$B$28*MAX(H15-$B$27,0) - $B$21*MAX(H15-$B$20,0)+$B$36*MAX(H15-$B$34,0)</f>
        <v>0</v>
      </c>
      <c r="J15" s="33">
        <f t="shared" ref="J15:J16" si="1">$B$10+I15</f>
        <v>9000</v>
      </c>
      <c r="K15" s="34" cm="1">
        <f t="array" ref="K15">IF(H15&lt;121.73,9000,IF(121.73&lt;H15 AND H15&lt;133.9,10000, 9000+82*MAX(H15-$B$5,0)))</f>
        <v>9000</v>
      </c>
      <c r="L15" s="36">
        <f t="shared" ref="L15:L16" si="2">J15-K15+$B$39</f>
        <v>384.91390711706447</v>
      </c>
    </row>
    <row r="16" spans="1:12" x14ac:dyDescent="0.35">
      <c r="H16" s="35">
        <v>50</v>
      </c>
      <c r="I16" s="32">
        <f t="shared" si="0"/>
        <v>0</v>
      </c>
      <c r="J16" s="33">
        <f t="shared" si="1"/>
        <v>9000</v>
      </c>
      <c r="K16" s="34" cm="1">
        <f t="array" ref="K16">IF(H16&lt;121.73,9000,IF(121.73&lt;H16 AND H16&lt;133.9,10000, 9000+82*MAX(H16-$B$5,0)))</f>
        <v>9000</v>
      </c>
      <c r="L16" s="36">
        <f t="shared" si="2"/>
        <v>384.91390711706447</v>
      </c>
    </row>
    <row r="17" spans="1:12" x14ac:dyDescent="0.35">
      <c r="H17" s="35">
        <v>100</v>
      </c>
      <c r="I17" s="32">
        <f>$B$28*MAX(H17-$B$27,0) - $B$21*MAX(H17-$B$20,0)+$B$36*MAX(H17-$B$34,0)</f>
        <v>0</v>
      </c>
      <c r="J17" s="33">
        <f>$B$10+I17</f>
        <v>9000</v>
      </c>
      <c r="K17" s="34" cm="1">
        <f t="array" ref="K17">IF(H17&lt;121.73,9000,IF(121.73&lt;H17 AND H17&lt;133.9,10000, 9000+82*MAX(H17-$B$5,0)))</f>
        <v>9000</v>
      </c>
      <c r="L17" s="36">
        <f>J17-K17+$B$39</f>
        <v>384.91390711706447</v>
      </c>
    </row>
    <row r="18" spans="1:12" x14ac:dyDescent="0.35">
      <c r="H18" s="35">
        <f>H17+5</f>
        <v>105</v>
      </c>
      <c r="I18" s="32">
        <f t="shared" ref="I18:I45" si="3">$B$28*MAX(H18-$B$27,0) - $B$21*MAX(H18-$B$20,0)+$B$36*MAX(H18-$B$34,0)</f>
        <v>0</v>
      </c>
      <c r="J18" s="33">
        <f t="shared" ref="J18:J45" si="4">$B$10+I18</f>
        <v>9000</v>
      </c>
      <c r="K18" s="34" cm="1">
        <f t="array" ref="K18">IF(H18&lt;121.73,9000,IF(121.73&lt;H18 AND H18&lt;133.9,10000, 9000+82*MAX(H18-$B$5,0)))</f>
        <v>9000</v>
      </c>
      <c r="L18" s="36">
        <f t="shared" ref="L18:L45" si="5">J18-K18+$B$39</f>
        <v>384.91390711706447</v>
      </c>
    </row>
    <row r="19" spans="1:12" ht="15.5" x14ac:dyDescent="0.35">
      <c r="A19" s="31" t="s">
        <v>45</v>
      </c>
      <c r="H19" s="35">
        <f t="shared" ref="H19:H20" si="6">H18+5</f>
        <v>110</v>
      </c>
      <c r="I19" s="32">
        <f t="shared" si="3"/>
        <v>0</v>
      </c>
      <c r="J19" s="33">
        <f t="shared" si="4"/>
        <v>9000</v>
      </c>
      <c r="K19" s="34" cm="1">
        <f t="array" ref="K19">IF(H19&lt;121.73,9000,IF(121.73&lt;H19 AND H19&lt;133.9,10000, 9000+82*MAX(H19-$B$5,0)))</f>
        <v>9000</v>
      </c>
      <c r="L19" s="36">
        <f t="shared" si="5"/>
        <v>384.91390711706447</v>
      </c>
    </row>
    <row r="20" spans="1:12" x14ac:dyDescent="0.35">
      <c r="A20" t="s">
        <v>46</v>
      </c>
      <c r="B20">
        <v>130</v>
      </c>
      <c r="H20" s="35">
        <f t="shared" si="6"/>
        <v>115</v>
      </c>
      <c r="I20" s="32">
        <f t="shared" si="3"/>
        <v>0</v>
      </c>
      <c r="J20" s="33">
        <f t="shared" si="4"/>
        <v>9000</v>
      </c>
      <c r="K20" s="34" cm="1">
        <f t="array" ref="K20">IF(H20&lt;121.73,9000,IF(121.73&lt;H20 AND H20&lt;133.9,10000, 9000+82*MAX(H20-$B$5,0)))</f>
        <v>9000</v>
      </c>
      <c r="L20" s="36">
        <f t="shared" si="5"/>
        <v>384.91390711706447</v>
      </c>
    </row>
    <row r="21" spans="1:12" x14ac:dyDescent="0.35">
      <c r="A21" t="s">
        <v>47</v>
      </c>
      <c r="B21">
        <v>160</v>
      </c>
      <c r="H21" s="35">
        <v>115.005</v>
      </c>
      <c r="I21" s="32">
        <f t="shared" si="3"/>
        <v>0</v>
      </c>
      <c r="J21" s="33">
        <f t="shared" si="4"/>
        <v>9000</v>
      </c>
      <c r="K21" s="34" cm="1">
        <f t="array" ref="K21">IF(H21&lt;121.73,9000,IF(121.73&lt;H21 AND H21&lt;133.9,10000, 9000+82*MAX(H21-$B$5,0)))</f>
        <v>9000</v>
      </c>
      <c r="L21" s="36">
        <f t="shared" si="5"/>
        <v>384.91390711706447</v>
      </c>
    </row>
    <row r="22" spans="1:12" x14ac:dyDescent="0.35">
      <c r="A22" t="s">
        <v>48</v>
      </c>
      <c r="B22">
        <v>7.65</v>
      </c>
      <c r="H22" s="35">
        <v>115.005</v>
      </c>
      <c r="I22" s="32">
        <f t="shared" si="3"/>
        <v>0</v>
      </c>
      <c r="J22" s="33">
        <f t="shared" si="4"/>
        <v>9000</v>
      </c>
      <c r="K22" s="34" cm="1">
        <f t="array" ref="K22">IF(H22&lt;121.73,9000,IF(121.73&lt;H22 AND H22&lt;133.9,10000, 9000+82*MAX(H22-$B$5,0)))</f>
        <v>9000</v>
      </c>
      <c r="L22" s="36">
        <f t="shared" si="5"/>
        <v>384.91390711706447</v>
      </c>
    </row>
    <row r="23" spans="1:12" x14ac:dyDescent="0.35">
      <c r="A23" t="s">
        <v>49</v>
      </c>
      <c r="B23">
        <f>B22*B21</f>
        <v>1224</v>
      </c>
      <c r="D23" s="25"/>
      <c r="H23" s="35">
        <f>H22+1</f>
        <v>116.005</v>
      </c>
      <c r="I23" s="32">
        <f t="shared" si="3"/>
        <v>0</v>
      </c>
      <c r="J23" s="33">
        <f t="shared" si="4"/>
        <v>9000</v>
      </c>
      <c r="K23" s="34" cm="1">
        <f t="array" ref="K23">IF(H23&lt;121.73,9000,IF(121.73&lt;H23 AND H23&lt;133.9,10000, 9000+82*MAX(H23-$B$5,0)))</f>
        <v>9000</v>
      </c>
      <c r="L23" s="36">
        <f t="shared" si="5"/>
        <v>384.91390711706447</v>
      </c>
    </row>
    <row r="24" spans="1:12" x14ac:dyDescent="0.35">
      <c r="H24" s="35">
        <f t="shared" ref="H24:H29" si="7">H23+1</f>
        <v>117.005</v>
      </c>
      <c r="I24" s="32">
        <f t="shared" si="3"/>
        <v>0</v>
      </c>
      <c r="J24" s="33">
        <f t="shared" si="4"/>
        <v>9000</v>
      </c>
      <c r="K24" s="34" cm="1">
        <f t="array" ref="K24">IF(H24&lt;121.73,9000,IF(121.73&lt;H24 AND H24&lt;133.9,10000, 9000+82*MAX(H24-$B$5,0)))</f>
        <v>9000</v>
      </c>
      <c r="L24" s="36">
        <f t="shared" si="5"/>
        <v>384.91390711706447</v>
      </c>
    </row>
    <row r="25" spans="1:12" x14ac:dyDescent="0.35">
      <c r="D25" s="25"/>
      <c r="H25" s="35">
        <f t="shared" si="7"/>
        <v>118.005</v>
      </c>
      <c r="I25" s="32">
        <f t="shared" si="3"/>
        <v>0</v>
      </c>
      <c r="J25" s="33">
        <f t="shared" si="4"/>
        <v>9000</v>
      </c>
      <c r="K25" s="34" cm="1">
        <f t="array" ref="K25">IF(H25&lt;121.73,9000,IF(121.73&lt;H25 AND H25&lt;133.9,10000, 9000+82*MAX(H25-$B$5,0)))</f>
        <v>9000</v>
      </c>
      <c r="L25" s="36">
        <f t="shared" si="5"/>
        <v>384.91390711706447</v>
      </c>
    </row>
    <row r="26" spans="1:12" ht="15.5" x14ac:dyDescent="0.35">
      <c r="A26" s="31" t="s">
        <v>50</v>
      </c>
      <c r="E26" s="25"/>
      <c r="H26" s="35">
        <f>H25+1</f>
        <v>119.005</v>
      </c>
      <c r="I26" s="32">
        <f t="shared" si="3"/>
        <v>0</v>
      </c>
      <c r="J26" s="33">
        <f t="shared" si="4"/>
        <v>9000</v>
      </c>
      <c r="K26" s="34" cm="1">
        <f t="array" ref="K26">IF(H26&lt;121.73,9000,IF(121.73&lt;H26 AND H26&lt;133.9,10000, 9000+82*MAX(H26-$B$5,0)))</f>
        <v>9000</v>
      </c>
      <c r="L26" s="36">
        <f t="shared" si="5"/>
        <v>384.91390711706447</v>
      </c>
    </row>
    <row r="27" spans="1:12" x14ac:dyDescent="0.35">
      <c r="A27" t="s">
        <v>46</v>
      </c>
      <c r="B27">
        <v>120</v>
      </c>
      <c r="H27" s="37">
        <f t="shared" si="7"/>
        <v>120.005</v>
      </c>
      <c r="I27" s="32">
        <f t="shared" si="3"/>
        <v>0.74999999999931788</v>
      </c>
      <c r="J27" s="33">
        <f t="shared" si="4"/>
        <v>9000.75</v>
      </c>
      <c r="K27" s="34">
        <v>9200</v>
      </c>
      <c r="L27" s="36">
        <f t="shared" si="5"/>
        <v>185.66390711706447</v>
      </c>
    </row>
    <row r="28" spans="1:12" x14ac:dyDescent="0.35">
      <c r="A28" t="s">
        <v>47</v>
      </c>
      <c r="B28">
        <v>150</v>
      </c>
      <c r="H28" s="35">
        <f t="shared" si="7"/>
        <v>121.005</v>
      </c>
      <c r="I28" s="32">
        <f t="shared" si="3"/>
        <v>150.74999999999932</v>
      </c>
      <c r="J28" s="33">
        <f t="shared" si="4"/>
        <v>9150.75</v>
      </c>
      <c r="K28" s="34">
        <v>9200</v>
      </c>
      <c r="L28" s="36">
        <f t="shared" si="5"/>
        <v>335.66390711706447</v>
      </c>
    </row>
    <row r="29" spans="1:12" x14ac:dyDescent="0.35">
      <c r="A29" t="s">
        <v>51</v>
      </c>
      <c r="B29">
        <v>12.6</v>
      </c>
      <c r="H29" s="35">
        <f t="shared" si="7"/>
        <v>122.005</v>
      </c>
      <c r="I29" s="32">
        <f t="shared" si="3"/>
        <v>300.74999999999932</v>
      </c>
      <c r="J29" s="33">
        <f t="shared" si="4"/>
        <v>9300.75</v>
      </c>
      <c r="K29" s="34">
        <v>9200</v>
      </c>
      <c r="L29" s="36">
        <f t="shared" si="5"/>
        <v>485.66390711706447</v>
      </c>
    </row>
    <row r="30" spans="1:12" x14ac:dyDescent="0.35">
      <c r="A30" t="s">
        <v>52</v>
      </c>
      <c r="B30">
        <f>B29*B28</f>
        <v>1890</v>
      </c>
      <c r="C30" s="25"/>
      <c r="D30" s="25"/>
      <c r="E30" s="25"/>
      <c r="F30" s="25"/>
      <c r="H30" s="35">
        <v>133</v>
      </c>
      <c r="I30" s="32">
        <f t="shared" si="3"/>
        <v>1470</v>
      </c>
      <c r="J30" s="33">
        <f t="shared" si="4"/>
        <v>10470</v>
      </c>
      <c r="K30" s="34">
        <v>9200</v>
      </c>
      <c r="L30" s="36">
        <f t="shared" si="5"/>
        <v>1654.9139071170644</v>
      </c>
    </row>
    <row r="31" spans="1:12" x14ac:dyDescent="0.35">
      <c r="H31" s="38">
        <v>133.9</v>
      </c>
      <c r="I31" s="32">
        <f t="shared" si="3"/>
        <v>1461</v>
      </c>
      <c r="J31" s="33">
        <f t="shared" si="4"/>
        <v>10461</v>
      </c>
      <c r="K31" s="34">
        <v>9200</v>
      </c>
      <c r="L31" s="36">
        <f t="shared" si="5"/>
        <v>1645.9139071170644</v>
      </c>
    </row>
    <row r="32" spans="1:12" x14ac:dyDescent="0.35">
      <c r="H32" s="35">
        <v>135</v>
      </c>
      <c r="I32" s="32">
        <f t="shared" si="3"/>
        <v>1450</v>
      </c>
      <c r="J32" s="33">
        <f t="shared" si="4"/>
        <v>10450</v>
      </c>
      <c r="K32" s="34">
        <f t="shared" ref="K32:K45" si="8">9000+82*MAX(H32-$B$5)*0.2</f>
        <v>9217.6280000000006</v>
      </c>
      <c r="L32" s="36">
        <f t="shared" si="5"/>
        <v>1617.2859071170637</v>
      </c>
    </row>
    <row r="33" spans="1:12" ht="15.5" x14ac:dyDescent="0.35">
      <c r="A33" s="31" t="s">
        <v>53</v>
      </c>
      <c r="B33" s="30">
        <f>1.1*$B$5</f>
        <v>133.90300000000002</v>
      </c>
      <c r="H33" s="35">
        <v>140</v>
      </c>
      <c r="I33" s="32">
        <f t="shared" si="3"/>
        <v>1410</v>
      </c>
      <c r="J33" s="33">
        <f t="shared" si="4"/>
        <v>10410</v>
      </c>
      <c r="K33" s="34">
        <f t="shared" si="8"/>
        <v>9299.6280000000006</v>
      </c>
      <c r="L33" s="36">
        <f t="shared" si="5"/>
        <v>1495.2859071170637</v>
      </c>
    </row>
    <row r="34" spans="1:12" x14ac:dyDescent="0.35">
      <c r="A34" t="s">
        <v>54</v>
      </c>
      <c r="B34">
        <v>135</v>
      </c>
      <c r="D34" s="25"/>
      <c r="H34" s="35">
        <f>H33+5</f>
        <v>145</v>
      </c>
      <c r="I34" s="32">
        <f t="shared" si="3"/>
        <v>1370</v>
      </c>
      <c r="J34" s="33">
        <f t="shared" si="4"/>
        <v>10370</v>
      </c>
      <c r="K34" s="34">
        <f t="shared" si="8"/>
        <v>9381.6280000000006</v>
      </c>
      <c r="L34" s="36">
        <f t="shared" si="5"/>
        <v>1373.2859071170637</v>
      </c>
    </row>
    <row r="35" spans="1:12" x14ac:dyDescent="0.35">
      <c r="A35" t="s">
        <v>51</v>
      </c>
      <c r="B35">
        <v>7.2</v>
      </c>
      <c r="H35" s="35">
        <f t="shared" ref="H35:H45" si="9">H34+5</f>
        <v>150</v>
      </c>
      <c r="I35" s="32">
        <f t="shared" si="3"/>
        <v>1330</v>
      </c>
      <c r="J35" s="33">
        <f t="shared" si="4"/>
        <v>10330</v>
      </c>
      <c r="K35" s="34">
        <f t="shared" si="8"/>
        <v>9463.6280000000006</v>
      </c>
      <c r="L35" s="36">
        <f t="shared" si="5"/>
        <v>1251.2859071170637</v>
      </c>
    </row>
    <row r="36" spans="1:12" x14ac:dyDescent="0.35">
      <c r="A36" t="s">
        <v>55</v>
      </c>
      <c r="B36">
        <v>2</v>
      </c>
      <c r="H36" s="35">
        <f t="shared" si="9"/>
        <v>155</v>
      </c>
      <c r="I36" s="32">
        <f t="shared" si="3"/>
        <v>1290</v>
      </c>
      <c r="J36" s="33">
        <f t="shared" si="4"/>
        <v>10290</v>
      </c>
      <c r="K36" s="34">
        <f t="shared" si="8"/>
        <v>9545.6280000000006</v>
      </c>
      <c r="L36" s="36">
        <f t="shared" si="5"/>
        <v>1129.2859071170637</v>
      </c>
    </row>
    <row r="37" spans="1:12" x14ac:dyDescent="0.35">
      <c r="A37" t="s">
        <v>52</v>
      </c>
      <c r="B37">
        <f>B36*B35</f>
        <v>14.4</v>
      </c>
      <c r="H37" s="35">
        <f t="shared" si="9"/>
        <v>160</v>
      </c>
      <c r="I37" s="32">
        <f t="shared" si="3"/>
        <v>1250</v>
      </c>
      <c r="J37" s="33">
        <f t="shared" si="4"/>
        <v>10250</v>
      </c>
      <c r="K37" s="34">
        <f t="shared" si="8"/>
        <v>9627.6280000000006</v>
      </c>
      <c r="L37" s="36">
        <f t="shared" si="5"/>
        <v>1007.2859071170639</v>
      </c>
    </row>
    <row r="38" spans="1:12" x14ac:dyDescent="0.35">
      <c r="H38" s="35">
        <f t="shared" si="9"/>
        <v>165</v>
      </c>
      <c r="I38" s="32">
        <f t="shared" si="3"/>
        <v>1210</v>
      </c>
      <c r="J38" s="33">
        <f t="shared" si="4"/>
        <v>10210</v>
      </c>
      <c r="K38" s="34">
        <f t="shared" si="8"/>
        <v>9709.6280000000006</v>
      </c>
      <c r="L38" s="36">
        <f t="shared" si="5"/>
        <v>885.28590711706386</v>
      </c>
    </row>
    <row r="39" spans="1:12" x14ac:dyDescent="0.35">
      <c r="A39" t="s">
        <v>56</v>
      </c>
      <c r="B39" s="25">
        <f>B14+B23-B30-B37</f>
        <v>384.91390711706447</v>
      </c>
      <c r="H39" s="35">
        <f t="shared" si="9"/>
        <v>170</v>
      </c>
      <c r="I39" s="32">
        <f t="shared" si="3"/>
        <v>1170</v>
      </c>
      <c r="J39" s="33">
        <f t="shared" si="4"/>
        <v>10170</v>
      </c>
      <c r="K39" s="34">
        <f t="shared" si="8"/>
        <v>9791.6280000000006</v>
      </c>
      <c r="L39" s="36">
        <f t="shared" si="5"/>
        <v>763.28590711706386</v>
      </c>
    </row>
    <row r="40" spans="1:12" x14ac:dyDescent="0.35">
      <c r="A40" t="s">
        <v>57</v>
      </c>
      <c r="B40" s="14">
        <f>B39/(B14+B23)</f>
        <v>0.16813504951000233</v>
      </c>
      <c r="H40" s="35">
        <f t="shared" si="9"/>
        <v>175</v>
      </c>
      <c r="I40" s="32">
        <f t="shared" si="3"/>
        <v>1130</v>
      </c>
      <c r="J40" s="33">
        <f t="shared" si="4"/>
        <v>10130</v>
      </c>
      <c r="K40" s="34">
        <f t="shared" si="8"/>
        <v>9873.6280000000006</v>
      </c>
      <c r="L40" s="36">
        <f t="shared" si="5"/>
        <v>641.28590711706386</v>
      </c>
    </row>
    <row r="41" spans="1:12" x14ac:dyDescent="0.35">
      <c r="H41" s="35">
        <f t="shared" si="9"/>
        <v>180</v>
      </c>
      <c r="I41" s="32">
        <f t="shared" si="3"/>
        <v>1090</v>
      </c>
      <c r="J41" s="33">
        <f t="shared" si="4"/>
        <v>10090</v>
      </c>
      <c r="K41" s="34">
        <f t="shared" si="8"/>
        <v>9955.6280000000006</v>
      </c>
      <c r="L41" s="36">
        <f t="shared" si="5"/>
        <v>519.28590711706386</v>
      </c>
    </row>
    <row r="42" spans="1:12" x14ac:dyDescent="0.35">
      <c r="H42" s="35">
        <f t="shared" si="9"/>
        <v>185</v>
      </c>
      <c r="I42" s="32">
        <f t="shared" si="3"/>
        <v>1050</v>
      </c>
      <c r="J42" s="33">
        <f t="shared" si="4"/>
        <v>10050</v>
      </c>
      <c r="K42" s="34">
        <f t="shared" si="8"/>
        <v>10037.628000000001</v>
      </c>
      <c r="L42" s="36">
        <f t="shared" si="5"/>
        <v>397.28590711706386</v>
      </c>
    </row>
    <row r="43" spans="1:12" x14ac:dyDescent="0.35">
      <c r="H43" s="35">
        <f t="shared" si="9"/>
        <v>190</v>
      </c>
      <c r="I43" s="32">
        <f t="shared" si="3"/>
        <v>1010</v>
      </c>
      <c r="J43" s="33">
        <f t="shared" si="4"/>
        <v>10010</v>
      </c>
      <c r="K43" s="34">
        <f t="shared" si="8"/>
        <v>10119.628000000001</v>
      </c>
      <c r="L43" s="36">
        <f t="shared" si="5"/>
        <v>275.28590711706386</v>
      </c>
    </row>
    <row r="44" spans="1:12" x14ac:dyDescent="0.35">
      <c r="H44" s="35">
        <f t="shared" si="9"/>
        <v>195</v>
      </c>
      <c r="I44" s="32">
        <f t="shared" si="3"/>
        <v>970</v>
      </c>
      <c r="J44" s="33">
        <f t="shared" si="4"/>
        <v>9970</v>
      </c>
      <c r="K44" s="34">
        <f t="shared" si="8"/>
        <v>10201.628000000001</v>
      </c>
      <c r="L44" s="36">
        <f t="shared" si="5"/>
        <v>153.28590711706386</v>
      </c>
    </row>
    <row r="45" spans="1:12" x14ac:dyDescent="0.35">
      <c r="H45" s="39"/>
      <c r="I45" s="40"/>
      <c r="J45" s="41"/>
      <c r="K45" s="42"/>
      <c r="L45" s="43"/>
    </row>
    <row r="46" spans="1:12" x14ac:dyDescent="0.35">
      <c r="J46" s="25"/>
      <c r="K46" s="30"/>
      <c r="L46" s="30"/>
    </row>
    <row r="47" spans="1:12" x14ac:dyDescent="0.35">
      <c r="J47" s="25"/>
      <c r="K47" s="30"/>
      <c r="L47" s="30"/>
    </row>
    <row r="48" spans="1:12" x14ac:dyDescent="0.35">
      <c r="J48" s="25"/>
      <c r="K48" s="30"/>
      <c r="L48" s="30"/>
    </row>
    <row r="49" spans="8:12" x14ac:dyDescent="0.35">
      <c r="J49" s="25"/>
      <c r="K49" s="30"/>
      <c r="L49" s="30"/>
    </row>
    <row r="50" spans="8:12" x14ac:dyDescent="0.35">
      <c r="J50" s="25"/>
      <c r="K50" s="30"/>
      <c r="L50" s="30"/>
    </row>
    <row r="51" spans="8:12" x14ac:dyDescent="0.35">
      <c r="H51" s="30"/>
      <c r="J51" s="25"/>
      <c r="K51" s="30"/>
      <c r="L51" s="30"/>
    </row>
    <row r="52" spans="8:12" x14ac:dyDescent="0.35">
      <c r="H52" s="30"/>
      <c r="J52" s="25"/>
      <c r="K52" s="30"/>
      <c r="L52" s="30"/>
    </row>
    <row r="53" spans="8:12" x14ac:dyDescent="0.35">
      <c r="H53" s="30"/>
      <c r="J53" s="25"/>
      <c r="K53" s="30"/>
      <c r="L53" s="30"/>
    </row>
    <row r="54" spans="8:12" x14ac:dyDescent="0.35">
      <c r="H54" s="30"/>
      <c r="J54" s="25"/>
      <c r="K54" s="30"/>
      <c r="L54" s="30"/>
    </row>
    <row r="55" spans="8:12" x14ac:dyDescent="0.35">
      <c r="H55" s="30"/>
      <c r="J55" s="25"/>
      <c r="K55" s="30"/>
      <c r="L55" s="30"/>
    </row>
    <row r="56" spans="8:12" x14ac:dyDescent="0.35">
      <c r="J56" s="25"/>
      <c r="K56" s="30"/>
      <c r="L56" s="30"/>
    </row>
    <row r="57" spans="8:12" x14ac:dyDescent="0.35">
      <c r="J57" s="25"/>
      <c r="K57" s="30"/>
      <c r="L57" s="30"/>
    </row>
    <row r="58" spans="8:12" x14ac:dyDescent="0.35">
      <c r="J58" s="25"/>
      <c r="K58" s="30"/>
      <c r="L58" s="30"/>
    </row>
    <row r="59" spans="8:12" x14ac:dyDescent="0.35">
      <c r="J59" s="25"/>
      <c r="K59" s="30"/>
      <c r="L59" s="30"/>
    </row>
    <row r="60" spans="8:12" x14ac:dyDescent="0.35">
      <c r="J60" s="25"/>
      <c r="K60" s="30"/>
      <c r="L60" s="30"/>
    </row>
    <row r="61" spans="8:12" x14ac:dyDescent="0.35">
      <c r="J61" s="25"/>
      <c r="K61" s="30"/>
      <c r="L61" s="30"/>
    </row>
  </sheetData>
  <mergeCells count="1">
    <mergeCell ref="F1:J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33CA-3AA5-4D25-8897-EC3F2214C48A}">
  <dimension ref="A1"/>
  <sheetViews>
    <sheetView workbookViewId="0">
      <selection activeCell="C3" sqref="C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6689-82E6-4363-A27E-60D50D1E5113}">
  <dimension ref="A1"/>
  <sheetViews>
    <sheetView topLeftCell="A19" workbookViewId="0">
      <selection activeCell="B28" sqref="B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4C92-DD9A-4666-94C4-B669CD30797C}">
  <dimension ref="A1"/>
  <sheetViews>
    <sheetView workbookViewId="0">
      <selection activeCell="M27" sqref="M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642F-3FE3-49DE-8756-B988E945B667}">
  <dimension ref="A1"/>
  <sheetViews>
    <sheetView topLeftCell="A13" workbookViewId="0">
      <selection activeCell="B5" sqref="B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6D08B-8B77-439F-B2EB-1879E9BB224C}">
  <dimension ref="A1"/>
  <sheetViews>
    <sheetView workbookViewId="0">
      <selection activeCell="O9" sqref="O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PPPN 1</vt:lpstr>
      <vt:lpstr>PPPN2</vt:lpstr>
      <vt:lpstr>Stock price on 7 Dec</vt:lpstr>
      <vt:lpstr>Screenshot Call</vt:lpstr>
      <vt:lpstr>Screenshot put</vt:lpstr>
      <vt:lpstr>Interest rate 2 yr</vt:lpstr>
      <vt:lpstr>ABBV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prern</dc:creator>
  <cp:lastModifiedBy>prern</cp:lastModifiedBy>
  <dcterms:created xsi:type="dcterms:W3CDTF">2021-12-12T16:35:41Z</dcterms:created>
  <dcterms:modified xsi:type="dcterms:W3CDTF">2021-12-17T00:49:25Z</dcterms:modified>
</cp:coreProperties>
</file>